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2022.06.30 Jun 2022\"/>
    </mc:Choice>
  </mc:AlternateContent>
  <xr:revisionPtr revIDLastSave="0" documentId="13_ncr:1_{31EFFE83-521D-45CE-B474-1EB370587CC5}" xr6:coauthVersionLast="47" xr6:coauthVersionMax="47" xr10:uidLastSave="{00000000-0000-0000-0000-000000000000}"/>
  <bookViews>
    <workbookView xWindow="2037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A P Aging Summary" sheetId="4" r:id="rId5"/>
  </sheets>
  <externalReferences>
    <externalReference r:id="rId6"/>
    <externalReference r:id="rId7"/>
  </externalReferences>
  <definedNames>
    <definedName name="_xlnm.Print_Area" localSheetId="3">'Budget vs. Actuals'!$AM$7:$AN$30</definedName>
    <definedName name="_xlnm.Print_Titles" localSheetId="3">'Budget vs. Actuals'!$A:$E,'Budget vs. Actuals'!$4:$6</definedName>
  </definedNames>
  <calcPr calcId="191029"/>
  <pivotCaches>
    <pivotCache cacheId="6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6" l="1"/>
  <c r="N14" i="6"/>
  <c r="N13" i="6"/>
  <c r="N12" i="6"/>
  <c r="U11" i="2" l="1"/>
  <c r="U9" i="2"/>
  <c r="U20" i="2"/>
  <c r="U37" i="2"/>
  <c r="U39" i="2" l="1"/>
  <c r="U56" i="2"/>
  <c r="U42" i="2"/>
  <c r="U38" i="2"/>
  <c r="U36" i="2"/>
  <c r="U33" i="2"/>
  <c r="U32" i="2"/>
  <c r="T16" i="2"/>
  <c r="V16" i="2" s="1"/>
  <c r="U14" i="2"/>
  <c r="U15" i="2" s="1"/>
  <c r="U17" i="2" s="1"/>
  <c r="U18" i="2" s="1"/>
  <c r="C14" i="2"/>
  <c r="C13" i="2"/>
  <c r="B13" i="2"/>
  <c r="E13" i="2" s="1"/>
  <c r="W14" i="2"/>
  <c r="W15" i="2" s="1"/>
  <c r="W17" i="2" s="1"/>
  <c r="W18" i="2" s="1"/>
  <c r="Z14" i="2"/>
  <c r="AA13" i="2"/>
  <c r="V13" i="2"/>
  <c r="X13" i="2" s="1"/>
  <c r="D13" i="2" l="1"/>
  <c r="T34" i="2" l="1"/>
  <c r="T35" i="2"/>
  <c r="D11" i="2"/>
  <c r="D27" i="2"/>
  <c r="C27" i="2"/>
  <c r="B27" i="2"/>
  <c r="T27" i="2" s="1"/>
  <c r="C28" i="2"/>
  <c r="B28" i="2"/>
  <c r="T28" i="2" s="1"/>
  <c r="E27" i="2" l="1"/>
  <c r="D28" i="2"/>
  <c r="E28" i="2"/>
  <c r="X16" i="2"/>
  <c r="U45" i="2"/>
  <c r="W45" i="2"/>
  <c r="AA21" i="2"/>
  <c r="AA22" i="2"/>
  <c r="X10" i="2"/>
  <c r="AA10" i="2"/>
  <c r="AA11" i="2"/>
  <c r="V11" i="2"/>
  <c r="X11" i="2" l="1"/>
  <c r="F11" i="4" l="1"/>
  <c r="E11" i="4"/>
  <c r="C10" i="4"/>
  <c r="C11" i="4" s="1"/>
  <c r="B9" i="4"/>
  <c r="G9" i="4" s="1"/>
  <c r="G8" i="4"/>
  <c r="D8" i="4"/>
  <c r="D11" i="4" s="1"/>
  <c r="B7" i="4"/>
  <c r="G7" i="4" s="1"/>
  <c r="B6" i="4"/>
  <c r="G6" i="4" s="1"/>
  <c r="G10" i="4" l="1"/>
  <c r="B11" i="4"/>
  <c r="G11" i="4" s="1"/>
  <c r="O27" i="5" l="1"/>
  <c r="O24" i="5"/>
  <c r="O21" i="5"/>
  <c r="O16" i="5"/>
  <c r="O11" i="5"/>
  <c r="N29" i="5"/>
  <c r="O29" i="5" l="1"/>
  <c r="B62" i="1"/>
  <c r="B61" i="1"/>
  <c r="B60" i="1"/>
  <c r="B59" i="1"/>
  <c r="B58" i="1"/>
  <c r="B57" i="1"/>
  <c r="B53" i="1"/>
  <c r="B54" i="1" s="1"/>
  <c r="B55" i="1" s="1"/>
  <c r="B63" i="1" s="1"/>
  <c r="B52" i="1"/>
  <c r="B51" i="1"/>
  <c r="B50" i="1"/>
  <c r="B48" i="1"/>
  <c r="B47" i="1"/>
  <c r="B40" i="1"/>
  <c r="B39" i="1"/>
  <c r="B38" i="1"/>
  <c r="B37" i="1"/>
  <c r="B36" i="1"/>
  <c r="B34" i="1"/>
  <c r="B33" i="1"/>
  <c r="B35" i="1" s="1"/>
  <c r="B32" i="1"/>
  <c r="B41" i="1" s="1"/>
  <c r="B31" i="1"/>
  <c r="B30" i="1"/>
  <c r="B29" i="1"/>
  <c r="B28" i="1"/>
  <c r="B24" i="1"/>
  <c r="B23" i="1"/>
  <c r="B25" i="1" s="1"/>
  <c r="B26" i="1" s="1"/>
  <c r="B19" i="1"/>
  <c r="B20" i="1" s="1"/>
  <c r="B17" i="1"/>
  <c r="B16" i="1"/>
  <c r="B13" i="1"/>
  <c r="B12" i="1"/>
  <c r="B11" i="1"/>
  <c r="B10" i="1"/>
  <c r="B9" i="1"/>
  <c r="B14" i="1" s="1"/>
  <c r="B21" i="1" s="1"/>
  <c r="B42" i="1" s="1"/>
  <c r="C77" i="2"/>
  <c r="E77" i="2" s="1"/>
  <c r="E76" i="2"/>
  <c r="B76" i="2"/>
  <c r="B77" i="2" s="1"/>
  <c r="D77" i="2" s="1"/>
  <c r="C73" i="2"/>
  <c r="B73" i="2"/>
  <c r="D73" i="2" s="1"/>
  <c r="C72" i="2"/>
  <c r="E71" i="2"/>
  <c r="B71" i="2"/>
  <c r="D71" i="2" s="1"/>
  <c r="E70" i="2"/>
  <c r="B70" i="2"/>
  <c r="D70" i="2" s="1"/>
  <c r="E69" i="2"/>
  <c r="B69" i="2"/>
  <c r="D69" i="2" s="1"/>
  <c r="E68" i="2"/>
  <c r="B68" i="2"/>
  <c r="E67" i="2"/>
  <c r="D67" i="2"/>
  <c r="E66" i="2"/>
  <c r="B66" i="2"/>
  <c r="C62" i="2"/>
  <c r="E61" i="2"/>
  <c r="B61" i="2"/>
  <c r="C60" i="2"/>
  <c r="E60" i="2" s="1"/>
  <c r="C59" i="2"/>
  <c r="B59" i="2"/>
  <c r="T59" i="2" s="1"/>
  <c r="E58" i="2"/>
  <c r="D58" i="2"/>
  <c r="C56" i="2"/>
  <c r="B56" i="2"/>
  <c r="T56" i="2" s="1"/>
  <c r="C55" i="2"/>
  <c r="B55" i="2"/>
  <c r="T55" i="2" s="1"/>
  <c r="C54" i="2"/>
  <c r="B54" i="2"/>
  <c r="T54" i="2" s="1"/>
  <c r="C53" i="2"/>
  <c r="B53" i="2"/>
  <c r="T53" i="2" s="1"/>
  <c r="C52" i="2"/>
  <c r="B52" i="2"/>
  <c r="T52" i="2" s="1"/>
  <c r="C51" i="2"/>
  <c r="B51" i="2"/>
  <c r="T51" i="2" s="1"/>
  <c r="E50" i="2"/>
  <c r="D50" i="2"/>
  <c r="C48" i="2"/>
  <c r="C49" i="2" s="1"/>
  <c r="B48" i="2"/>
  <c r="T48" i="2" s="1"/>
  <c r="E47" i="2"/>
  <c r="B47" i="2"/>
  <c r="D47" i="2" s="1"/>
  <c r="E46" i="2"/>
  <c r="D46" i="2"/>
  <c r="C44" i="2"/>
  <c r="B44" i="2"/>
  <c r="T44" i="2" s="1"/>
  <c r="C43" i="2"/>
  <c r="B43" i="2"/>
  <c r="T43" i="2" s="1"/>
  <c r="C42" i="2"/>
  <c r="B42" i="2"/>
  <c r="T42" i="2" s="1"/>
  <c r="T45" i="2" s="1"/>
  <c r="E41" i="2"/>
  <c r="D41" i="2"/>
  <c r="C39" i="2"/>
  <c r="B39" i="2"/>
  <c r="T39" i="2" s="1"/>
  <c r="C38" i="2"/>
  <c r="B38" i="2"/>
  <c r="T38" i="2" s="1"/>
  <c r="C37" i="2"/>
  <c r="B37" i="2"/>
  <c r="T37" i="2" s="1"/>
  <c r="C36" i="2"/>
  <c r="B36" i="2"/>
  <c r="T36" i="2" s="1"/>
  <c r="E35" i="2"/>
  <c r="D35" i="2"/>
  <c r="C34" i="2"/>
  <c r="E34" i="2" s="1"/>
  <c r="E33" i="2"/>
  <c r="B33" i="2"/>
  <c r="C32" i="2"/>
  <c r="B32" i="2"/>
  <c r="T32" i="2" s="1"/>
  <c r="E31" i="2"/>
  <c r="B31" i="2"/>
  <c r="C30" i="2"/>
  <c r="B30" i="2"/>
  <c r="T30" i="2" s="1"/>
  <c r="C29" i="2"/>
  <c r="B29" i="2"/>
  <c r="T29" i="2" s="1"/>
  <c r="C25" i="2"/>
  <c r="E25" i="2" s="1"/>
  <c r="C24" i="2"/>
  <c r="B24" i="2"/>
  <c r="T24" i="2" s="1"/>
  <c r="C23" i="2"/>
  <c r="B23" i="2"/>
  <c r="T23" i="2" s="1"/>
  <c r="C20" i="2"/>
  <c r="B20" i="2"/>
  <c r="E16" i="2"/>
  <c r="B16" i="2"/>
  <c r="D16" i="2" s="1"/>
  <c r="E12" i="2"/>
  <c r="B12" i="2"/>
  <c r="C9" i="2"/>
  <c r="C15" i="2" s="1"/>
  <c r="B9" i="2"/>
  <c r="E8" i="2"/>
  <c r="D8" i="2"/>
  <c r="D61" i="2" l="1"/>
  <c r="T61" i="2"/>
  <c r="D33" i="2"/>
  <c r="T33" i="2"/>
  <c r="T20" i="2"/>
  <c r="B15" i="2"/>
  <c r="T9" i="2"/>
  <c r="D31" i="2"/>
  <c r="T31" i="2"/>
  <c r="D12" i="2"/>
  <c r="D14" i="2" s="1"/>
  <c r="B14" i="2"/>
  <c r="E14" i="2" s="1"/>
  <c r="T12" i="2"/>
  <c r="D38" i="2"/>
  <c r="E29" i="2"/>
  <c r="D32" i="2"/>
  <c r="D37" i="2"/>
  <c r="D43" i="2"/>
  <c r="D53" i="2"/>
  <c r="E44" i="2"/>
  <c r="B62" i="2"/>
  <c r="E62" i="2" s="1"/>
  <c r="D9" i="2"/>
  <c r="D15" i="2" s="1"/>
  <c r="D20" i="2"/>
  <c r="D36" i="2"/>
  <c r="D51" i="2"/>
  <c r="D55" i="2"/>
  <c r="E30" i="2"/>
  <c r="D39" i="2"/>
  <c r="E59" i="2"/>
  <c r="D60" i="2"/>
  <c r="B45" i="2"/>
  <c r="D24" i="2"/>
  <c r="C74" i="2"/>
  <c r="C78" i="2" s="1"/>
  <c r="E72" i="2"/>
  <c r="E23" i="2"/>
  <c r="E32" i="2"/>
  <c r="E39" i="2"/>
  <c r="C45" i="2"/>
  <c r="D48" i="2"/>
  <c r="E52" i="2"/>
  <c r="E56" i="2"/>
  <c r="E73" i="2"/>
  <c r="E51" i="2"/>
  <c r="E55" i="2"/>
  <c r="E36" i="2"/>
  <c r="E48" i="2"/>
  <c r="C57" i="2"/>
  <c r="D34" i="2"/>
  <c r="E24" i="2"/>
  <c r="E37" i="2"/>
  <c r="E53" i="2"/>
  <c r="B72" i="2"/>
  <c r="D72" i="2" s="1"/>
  <c r="E38" i="2"/>
  <c r="E54" i="2"/>
  <c r="E20" i="2"/>
  <c r="E43" i="2"/>
  <c r="B57" i="2"/>
  <c r="D59" i="2"/>
  <c r="E9" i="2"/>
  <c r="D25" i="2"/>
  <c r="D30" i="2"/>
  <c r="B49" i="2"/>
  <c r="D49" i="2" s="1"/>
  <c r="D68" i="2"/>
  <c r="D76" i="2"/>
  <c r="D23" i="2"/>
  <c r="B40" i="2"/>
  <c r="B63" i="2" s="1"/>
  <c r="D42" i="2"/>
  <c r="D44" i="2"/>
  <c r="C40" i="2"/>
  <c r="C63" i="2" s="1"/>
  <c r="E42" i="2"/>
  <c r="D66" i="2"/>
  <c r="D29" i="2"/>
  <c r="D52" i="2"/>
  <c r="D54" i="2"/>
  <c r="D56" i="2"/>
  <c r="T14" i="2" l="1"/>
  <c r="T15" i="2" s="1"/>
  <c r="T17" i="2" s="1"/>
  <c r="T18" i="2" s="1"/>
  <c r="V12" i="2"/>
  <c r="D62" i="2"/>
  <c r="D45" i="2"/>
  <c r="E57" i="2"/>
  <c r="E40" i="2"/>
  <c r="B74" i="2"/>
  <c r="B78" i="2" s="1"/>
  <c r="D78" i="2" s="1"/>
  <c r="D57" i="2"/>
  <c r="E45" i="2"/>
  <c r="E49" i="2"/>
  <c r="C17" i="2"/>
  <c r="D40" i="2"/>
  <c r="D63" i="2" s="1"/>
  <c r="E15" i="2"/>
  <c r="V14" i="2" l="1"/>
  <c r="X12" i="2"/>
  <c r="X14" i="2" s="1"/>
  <c r="E63" i="2"/>
  <c r="E74" i="2"/>
  <c r="D74" i="2"/>
  <c r="E78" i="2"/>
  <c r="C18" i="2"/>
  <c r="B17" i="2"/>
  <c r="E17" i="2" s="1"/>
  <c r="C64" i="2" l="1"/>
  <c r="D17" i="2"/>
  <c r="B18" i="2"/>
  <c r="E18" i="2" s="1"/>
  <c r="C79" i="2" l="1"/>
  <c r="D18" i="2"/>
  <c r="B64" i="2"/>
  <c r="E64" i="2" s="1"/>
  <c r="B79" i="2" l="1"/>
  <c r="D79" i="2" s="1"/>
  <c r="D64" i="2"/>
  <c r="E79" i="2" l="1"/>
  <c r="AR12" i="2"/>
  <c r="AW8" i="2" l="1"/>
  <c r="N65" i="2"/>
  <c r="O65" i="2"/>
  <c r="M65" i="2"/>
  <c r="V46" i="2" l="1"/>
  <c r="AA20" i="2"/>
  <c r="V61" i="2"/>
  <c r="X61" i="2" s="1"/>
  <c r="V59" i="2"/>
  <c r="X59" i="2" s="1"/>
  <c r="V56" i="2"/>
  <c r="X56" i="2" s="1"/>
  <c r="V54" i="2"/>
  <c r="X54" i="2" s="1"/>
  <c r="V53" i="2"/>
  <c r="X53" i="2" s="1"/>
  <c r="V52" i="2"/>
  <c r="X52" i="2" s="1"/>
  <c r="V51" i="2"/>
  <c r="X51" i="2" s="1"/>
  <c r="T49" i="2"/>
  <c r="V44" i="2"/>
  <c r="X44" i="2" s="1"/>
  <c r="V43" i="2"/>
  <c r="X43" i="2" s="1"/>
  <c r="V42" i="2"/>
  <c r="V39" i="2"/>
  <c r="X39" i="2" s="1"/>
  <c r="V38" i="2"/>
  <c r="X38" i="2" s="1"/>
  <c r="V36" i="2"/>
  <c r="X36" i="2" s="1"/>
  <c r="V33" i="2"/>
  <c r="X33" i="2" s="1"/>
  <c r="V32" i="2"/>
  <c r="X32" i="2" s="1"/>
  <c r="V31" i="2"/>
  <c r="V30" i="2"/>
  <c r="X30" i="2" s="1"/>
  <c r="V29" i="2"/>
  <c r="X29" i="2" s="1"/>
  <c r="V28" i="2"/>
  <c r="X28" i="2" s="1"/>
  <c r="V27" i="2"/>
  <c r="X27" i="2" s="1"/>
  <c r="V24" i="2"/>
  <c r="X24" i="2" s="1"/>
  <c r="V23" i="2"/>
  <c r="X23" i="2" s="1"/>
  <c r="V60" i="2"/>
  <c r="X60" i="2" s="1"/>
  <c r="V37" i="2"/>
  <c r="X37" i="2" s="1"/>
  <c r="V35" i="2"/>
  <c r="V34" i="2"/>
  <c r="X34" i="2" s="1"/>
  <c r="V26" i="2"/>
  <c r="V25" i="2"/>
  <c r="X25" i="2" s="1"/>
  <c r="V20" i="2"/>
  <c r="X20" i="2" s="1"/>
  <c r="V9" i="2"/>
  <c r="V15" i="2" s="1"/>
  <c r="V17" i="2" s="1"/>
  <c r="V18" i="2" s="1"/>
  <c r="U62" i="2"/>
  <c r="U57" i="2"/>
  <c r="U49" i="2"/>
  <c r="U40" i="2"/>
  <c r="Z39" i="2"/>
  <c r="X42" i="2" l="1"/>
  <c r="X45" i="2" s="1"/>
  <c r="V45" i="2"/>
  <c r="X9" i="2"/>
  <c r="X15" i="2" s="1"/>
  <c r="X17" i="2" s="1"/>
  <c r="X18" i="2" s="1"/>
  <c r="X40" i="2"/>
  <c r="X62" i="2"/>
  <c r="T57" i="2"/>
  <c r="V62" i="2"/>
  <c r="T62" i="2"/>
  <c r="V55" i="2"/>
  <c r="V57" i="2" s="1"/>
  <c r="V48" i="2"/>
  <c r="V49" i="2" s="1"/>
  <c r="T40" i="2"/>
  <c r="V40" i="2"/>
  <c r="U63" i="2"/>
  <c r="U64" i="2" s="1"/>
  <c r="T63" i="2" l="1"/>
  <c r="T64" i="2" s="1"/>
  <c r="V63" i="2"/>
  <c r="V64" i="2" l="1"/>
  <c r="Z61" i="2"/>
  <c r="Z60" i="2"/>
  <c r="Z56" i="2"/>
  <c r="Z55" i="2"/>
  <c r="Z53" i="2"/>
  <c r="Z52" i="2"/>
  <c r="Z51" i="2"/>
  <c r="Z48" i="2"/>
  <c r="Z49" i="2" s="1"/>
  <c r="Z44" i="2"/>
  <c r="Z43" i="2"/>
  <c r="Z45" i="2" s="1"/>
  <c r="Z9" i="2"/>
  <c r="Z15" i="2" s="1"/>
  <c r="Z17" i="2" s="1"/>
  <c r="Z18" i="2" s="1"/>
  <c r="W85" i="2"/>
  <c r="W62" i="2"/>
  <c r="W55" i="2"/>
  <c r="W48" i="2"/>
  <c r="W40" i="2"/>
  <c r="Y61" i="2"/>
  <c r="Y60" i="2"/>
  <c r="Y59" i="2"/>
  <c r="Y54" i="2"/>
  <c r="AA54" i="2" s="1"/>
  <c r="Y53" i="2"/>
  <c r="Y52" i="2"/>
  <c r="Y44" i="2"/>
  <c r="Y43" i="2"/>
  <c r="Y38" i="2"/>
  <c r="Y35" i="2"/>
  <c r="Y34" i="2"/>
  <c r="AA34" i="2" s="1"/>
  <c r="Y33" i="2"/>
  <c r="Y32" i="2"/>
  <c r="AA32" i="2" s="1"/>
  <c r="Y31" i="2"/>
  <c r="Y30" i="2"/>
  <c r="Y28" i="2"/>
  <c r="AA28" i="2" s="1"/>
  <c r="Y26" i="2"/>
  <c r="AA26" i="2" s="1"/>
  <c r="Y24" i="2"/>
  <c r="Y23" i="2"/>
  <c r="P13" i="2"/>
  <c r="Y12" i="2"/>
  <c r="Y14" i="2" s="1"/>
  <c r="Y9" i="2"/>
  <c r="Q13" i="2"/>
  <c r="AA12" i="2" l="1"/>
  <c r="AA14" i="2" s="1"/>
  <c r="W49" i="2"/>
  <c r="X48" i="2"/>
  <c r="X49" i="2" s="1"/>
  <c r="W57" i="2"/>
  <c r="X55" i="2"/>
  <c r="X57" i="2" s="1"/>
  <c r="Z62" i="2"/>
  <c r="AA59" i="2"/>
  <c r="Y62" i="2"/>
  <c r="AA61" i="2"/>
  <c r="AA9" i="2"/>
  <c r="AA43" i="2"/>
  <c r="AA60" i="2"/>
  <c r="AA44" i="2"/>
  <c r="AA52" i="2"/>
  <c r="Z57" i="2"/>
  <c r="AA53" i="2"/>
  <c r="W86" i="2"/>
  <c r="O40" i="2"/>
  <c r="P40" i="2" s="1"/>
  <c r="Q63" i="2"/>
  <c r="Q64" i="2"/>
  <c r="Q55" i="2"/>
  <c r="Q56" i="2"/>
  <c r="Q47" i="2"/>
  <c r="Q46" i="2"/>
  <c r="Q14" i="2"/>
  <c r="Q9" i="2"/>
  <c r="P45" i="2"/>
  <c r="P48" i="2" s="1"/>
  <c r="P57" i="2"/>
  <c r="P60" i="2" s="1"/>
  <c r="P62" i="2"/>
  <c r="N60" i="2"/>
  <c r="O60" i="2"/>
  <c r="N48" i="2"/>
  <c r="O48" i="2"/>
  <c r="P29" i="2"/>
  <c r="Q29" i="2" s="1"/>
  <c r="P30" i="2"/>
  <c r="Z27" i="2" s="1"/>
  <c r="P31" i="2"/>
  <c r="Q31" i="2" s="1"/>
  <c r="P32" i="2"/>
  <c r="Z29" i="2" s="1"/>
  <c r="P33" i="2"/>
  <c r="P52" i="2"/>
  <c r="P41" i="2"/>
  <c r="P39" i="2"/>
  <c r="Z36" i="2" s="1"/>
  <c r="P38" i="2"/>
  <c r="P37" i="2"/>
  <c r="Q37" i="2" s="1"/>
  <c r="P36" i="2"/>
  <c r="P35" i="2"/>
  <c r="Q35" i="2" s="1"/>
  <c r="P34" i="2"/>
  <c r="P28" i="2"/>
  <c r="Z25" i="2" s="1"/>
  <c r="P27" i="2"/>
  <c r="P26" i="2"/>
  <c r="P23" i="2"/>
  <c r="Q23" i="2" s="1"/>
  <c r="P15" i="2"/>
  <c r="P12" i="2"/>
  <c r="Q12" i="2" s="1"/>
  <c r="O52" i="2"/>
  <c r="O15" i="2"/>
  <c r="O16" i="2" s="1"/>
  <c r="O18" i="2" s="1"/>
  <c r="O19" i="2" s="1"/>
  <c r="N15" i="2"/>
  <c r="N16" i="2" s="1"/>
  <c r="N52" i="2"/>
  <c r="N42" i="2"/>
  <c r="N43" i="2" s="1"/>
  <c r="M32" i="2"/>
  <c r="Y29" i="2" s="1"/>
  <c r="AM32" i="2"/>
  <c r="BE9" i="2"/>
  <c r="BE15" i="2" s="1"/>
  <c r="AY8" i="2"/>
  <c r="AZ8" i="2" s="1"/>
  <c r="AN14" i="2"/>
  <c r="AN12" i="2"/>
  <c r="AN23" i="2"/>
  <c r="AN15" i="2"/>
  <c r="M30" i="2"/>
  <c r="Y27" i="2" s="1"/>
  <c r="AR34" i="2"/>
  <c r="M59" i="2"/>
  <c r="Y56" i="2" s="1"/>
  <c r="AA56" i="2" s="1"/>
  <c r="AR7" i="2"/>
  <c r="AY7" i="2" s="1"/>
  <c r="AZ7" i="2" s="1"/>
  <c r="AW9" i="2"/>
  <c r="M39" i="2"/>
  <c r="Y36" i="2" s="1"/>
  <c r="M15" i="2"/>
  <c r="M16" i="2" s="1"/>
  <c r="AR44" i="2"/>
  <c r="AU44" i="2" s="1"/>
  <c r="AR42" i="2"/>
  <c r="AU42" i="2" s="1"/>
  <c r="AR40" i="2"/>
  <c r="AU40" i="2" s="1"/>
  <c r="AR35" i="2"/>
  <c r="AN16" i="2"/>
  <c r="M45" i="2" s="1"/>
  <c r="AT16" i="2"/>
  <c r="AT9" i="2"/>
  <c r="AU9" i="2" s="1"/>
  <c r="AT8" i="2"/>
  <c r="AU8" i="2" s="1"/>
  <c r="AK8" i="2"/>
  <c r="M58" i="2"/>
  <c r="Y55" i="2" s="1"/>
  <c r="AA55" i="2" s="1"/>
  <c r="M54" i="2"/>
  <c r="Y51" i="2" s="1"/>
  <c r="M51" i="2"/>
  <c r="M28" i="2"/>
  <c r="Y25" i="2" s="1"/>
  <c r="AA15" i="2" l="1"/>
  <c r="AA17" i="2" s="1"/>
  <c r="AA18" i="2" s="1"/>
  <c r="Y15" i="2"/>
  <c r="Y17" i="2" s="1"/>
  <c r="Y18" i="2" s="1"/>
  <c r="W63" i="2"/>
  <c r="W64" i="2" s="1"/>
  <c r="W87" i="2" s="1"/>
  <c r="Q62" i="2"/>
  <c r="Q65" i="2" s="1"/>
  <c r="P65" i="2"/>
  <c r="X63" i="2"/>
  <c r="X64" i="2" s="1"/>
  <c r="AA62" i="2"/>
  <c r="AA29" i="2"/>
  <c r="Q45" i="2"/>
  <c r="Q48" i="2" s="1"/>
  <c r="AA25" i="2"/>
  <c r="AZ12" i="2"/>
  <c r="AZ14" i="2" s="1"/>
  <c r="AA36" i="2"/>
  <c r="Q36" i="2"/>
  <c r="Z33" i="2"/>
  <c r="AA33" i="2" s="1"/>
  <c r="Q38" i="2"/>
  <c r="Z35" i="2"/>
  <c r="Y57" i="2"/>
  <c r="AA51" i="2"/>
  <c r="AA57" i="2" s="1"/>
  <c r="Q59" i="2"/>
  <c r="Q26" i="2"/>
  <c r="Z23" i="2"/>
  <c r="Q27" i="2"/>
  <c r="Z24" i="2"/>
  <c r="AA24" i="2" s="1"/>
  <c r="Q41" i="2"/>
  <c r="Z38" i="2"/>
  <c r="AA38" i="2" s="1"/>
  <c r="Q34" i="2"/>
  <c r="Z31" i="2"/>
  <c r="AA31" i="2" s="1"/>
  <c r="Q33" i="2"/>
  <c r="Z30" i="2"/>
  <c r="AA30" i="2" s="1"/>
  <c r="Q57" i="2"/>
  <c r="AA27" i="2"/>
  <c r="Q58" i="2"/>
  <c r="O42" i="2"/>
  <c r="O43" i="2" s="1"/>
  <c r="O66" i="2" s="1"/>
  <c r="O67" i="2" s="1"/>
  <c r="Q28" i="2"/>
  <c r="Q32" i="2"/>
  <c r="M52" i="2"/>
  <c r="Y48" i="2"/>
  <c r="Q30" i="2"/>
  <c r="Q51" i="2"/>
  <c r="Q52" i="2" s="1"/>
  <c r="M48" i="2"/>
  <c r="Y42" i="2"/>
  <c r="Y45" i="2" s="1"/>
  <c r="Q39" i="2"/>
  <c r="Q54" i="2"/>
  <c r="P16" i="2"/>
  <c r="P18" i="2" s="1"/>
  <c r="P19" i="2" s="1"/>
  <c r="AT7" i="2"/>
  <c r="AU7" i="2" s="1"/>
  <c r="AU12" i="2" s="1"/>
  <c r="AN8" i="2" s="1"/>
  <c r="N18" i="2"/>
  <c r="N19" i="2" s="1"/>
  <c r="Q15" i="2"/>
  <c r="Q16" i="2" s="1"/>
  <c r="Q18" i="2" s="1"/>
  <c r="Q19" i="2" s="1"/>
  <c r="N66" i="2"/>
  <c r="AW7" i="2"/>
  <c r="AW12" i="2" s="1"/>
  <c r="AW14" i="2" s="1"/>
  <c r="AR36" i="2"/>
  <c r="AN18" i="2" s="1"/>
  <c r="AN19" i="2"/>
  <c r="M60" i="2"/>
  <c r="M18" i="2"/>
  <c r="M19" i="2" s="1"/>
  <c r="C91" i="2"/>
  <c r="D90" i="2"/>
  <c r="Q60" i="2" l="1"/>
  <c r="Z40" i="2"/>
  <c r="Z63" i="2" s="1"/>
  <c r="Z64" i="2" s="1"/>
  <c r="AA35" i="2"/>
  <c r="Y49" i="2"/>
  <c r="AA48" i="2"/>
  <c r="AA49" i="2" s="1"/>
  <c r="AA42" i="2"/>
  <c r="AA45" i="2" s="1"/>
  <c r="AA23" i="2"/>
  <c r="R37" i="2"/>
  <c r="N67" i="2"/>
  <c r="P42" i="2"/>
  <c r="H48" i="2"/>
  <c r="I65" i="2"/>
  <c r="I35" i="2"/>
  <c r="H52" i="2"/>
  <c r="AN9" i="2"/>
  <c r="AN28" i="2" s="1"/>
  <c r="M40" i="2"/>
  <c r="H65" i="2"/>
  <c r="I52" i="2"/>
  <c r="I60" i="2"/>
  <c r="H35" i="2"/>
  <c r="I40" i="2"/>
  <c r="D91" i="2"/>
  <c r="D92" i="2" s="1"/>
  <c r="D93" i="2" s="1"/>
  <c r="D94" i="2" s="1"/>
  <c r="D95" i="2" s="1"/>
  <c r="D96" i="2" s="1"/>
  <c r="D97" i="2" s="1"/>
  <c r="D98" i="2" s="1"/>
  <c r="D99" i="2" s="1"/>
  <c r="D100" i="2" s="1"/>
  <c r="F100" i="2" s="1"/>
  <c r="Y37" i="2" l="1"/>
  <c r="AA37" i="2" s="1"/>
  <c r="AC41" i="2" s="1"/>
  <c r="Q40" i="2"/>
  <c r="P43" i="2"/>
  <c r="M42" i="2"/>
  <c r="Y39" i="2" s="1"/>
  <c r="AA39" i="2" s="1"/>
  <c r="AO28" i="2"/>
  <c r="H40" i="2"/>
  <c r="I48" i="2"/>
  <c r="H60" i="2"/>
  <c r="AA40" i="2" l="1"/>
  <c r="AA63" i="2" s="1"/>
  <c r="AA64" i="2" s="1"/>
  <c r="Y40" i="2"/>
  <c r="Y63" i="2" s="1"/>
  <c r="P66" i="2"/>
  <c r="P67" i="2" s="1"/>
  <c r="Q42" i="2"/>
  <c r="Q43" i="2" s="1"/>
  <c r="Q66" i="2" s="1"/>
  <c r="Q67" i="2" s="1"/>
  <c r="M43" i="2"/>
  <c r="M66" i="2" s="1"/>
  <c r="I19" i="2"/>
  <c r="M24" i="6"/>
  <c r="K19" i="6"/>
  <c r="J19" i="6"/>
  <c r="X18" i="6"/>
  <c r="M15" i="6"/>
  <c r="L15" i="6"/>
  <c r="O15" i="6" s="1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O13" i="6" s="1"/>
  <c r="K13" i="6"/>
  <c r="J13" i="6"/>
  <c r="I13" i="6"/>
  <c r="H13" i="6"/>
  <c r="G13" i="6"/>
  <c r="F13" i="6"/>
  <c r="E13" i="6"/>
  <c r="M12" i="6"/>
  <c r="L12" i="6"/>
  <c r="O12" i="6" s="1"/>
  <c r="K12" i="6"/>
  <c r="J12" i="6"/>
  <c r="I12" i="6"/>
  <c r="H12" i="6"/>
  <c r="G12" i="6"/>
  <c r="F12" i="6"/>
  <c r="E12" i="6"/>
  <c r="E11" i="6"/>
  <c r="O11" i="6" s="1"/>
  <c r="I40" i="6"/>
  <c r="Y64" i="2" l="1"/>
  <c r="M67" i="2"/>
  <c r="O70" i="2" s="1"/>
  <c r="O69" i="2"/>
  <c r="J52" i="2"/>
  <c r="J40" i="2"/>
  <c r="I67" i="2"/>
  <c r="I68" i="2" s="1"/>
  <c r="H19" i="2"/>
  <c r="J19" i="2" s="1"/>
  <c r="J60" i="2"/>
  <c r="H67" i="2"/>
  <c r="J48" i="2"/>
  <c r="J65" i="2"/>
  <c r="J35" i="2"/>
  <c r="N19" i="6"/>
  <c r="O14" i="6"/>
  <c r="O17" i="6" s="1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K65" i="2" l="1"/>
  <c r="B87" i="2"/>
  <c r="C87" i="2"/>
  <c r="K35" i="2"/>
  <c r="M20" i="6"/>
  <c r="N11" i="6"/>
  <c r="N17" i="6" s="1"/>
  <c r="N20" i="6" s="1"/>
  <c r="J67" i="2"/>
  <c r="H68" i="2"/>
  <c r="J68" i="2" s="1"/>
  <c r="K20" i="6"/>
  <c r="J20" i="6"/>
  <c r="G20" i="6"/>
  <c r="E20" i="6"/>
  <c r="H20" i="6"/>
  <c r="I20" i="6"/>
  <c r="F20" i="6"/>
  <c r="L20" i="6"/>
  <c r="F29" i="5"/>
  <c r="F34" i="5" s="1"/>
  <c r="G86" i="2"/>
  <c r="E87" i="2" l="1"/>
  <c r="D87" i="2"/>
</calcChain>
</file>

<file path=xl/sharedStrings.xml><?xml version="1.0" encoding="utf-8"?>
<sst xmlns="http://schemas.openxmlformats.org/spreadsheetml/2006/main" count="312" uniqueCount="282">
  <si>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</si>
  <si>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</si>
  <si>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</si>
  <si>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</si>
  <si>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</si>
  <si>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</si>
  <si>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</si>
  <si>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</si>
  <si>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</si>
  <si>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</si>
  <si>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</si>
  <si>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</si>
  <si>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</si>
  <si>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</si>
  <si>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</si>
  <si>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</si>
  <si>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</si>
  <si>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</si>
  <si>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</si>
  <si>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</si>
  <si>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</si>
  <si>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</si>
  <si>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</si>
  <si>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</si>
  <si>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</si>
  <si>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</si>
  <si>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</si>
  <si>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</si>
  <si>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</si>
  <si>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</si>
  <si>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</si>
  <si>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</si>
  <si>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</si>
  <si>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</si>
  <si>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</si>
  <si>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</si>
  <si>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</si>
  <si>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</si>
  <si>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</si>
  <si>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</si>
  <si>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</si>
  <si>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</si>
  <si>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</si>
  <si>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</si>
  <si>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</si>
  <si>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</si>
  <si>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</si>
  <si>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</si>
  <si>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</si>
  <si>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</si>
  <si>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</si>
  <si>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</si>
  <si>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</si>
  <si>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</si>
  <si>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</si>
  <si>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</si>
  <si>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</si>
  <si>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</si>
  <si>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</si>
  <si>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</si>
  <si>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</si>
  <si>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</si>
  <si>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</si>
  <si>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</si>
  <si>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</si>
  <si>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</si>
  <si>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</si>
  <si>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</si>
  <si>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</si>
  <si>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</si>
  <si>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</si>
  <si>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</si>
  <si>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</si>
  <si>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</si>
  <si>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</si>
  <si>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</si>
  <si>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</si>
  <si>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</si>
  <si>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</si>
  <si>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</si>
  <si>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</si>
  <si>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</si>
  <si>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</si>
  <si>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</si>
  <si>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</si>
  <si>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</si>
  <si>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</si>
  <si>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</si>
  <si>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</si>
  <si>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</si>
  <si>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</si>
  <si>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</si>
  <si>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</si>
  <si>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</si>
  <si>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</si>
  <si>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</si>
  <si>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</si>
  <si>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</si>
  <si>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</si>
  <si>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</si>
  <si>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</si>
  <si>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</si>
  <si>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</si>
  <si>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</si>
  <si>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</si>
  <si>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</si>
  <si>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</si>
  <si>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</si>
  <si>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</si>
  <si>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</si>
  <si>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</si>
  <si>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</si>
  <si>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</si>
  <si>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</si>
  <si>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</si>
  <si>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</si>
  <si>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</si>
  <si>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</si>
  <si>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</si>
  <si>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</si>
  <si>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</si>
  <si>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</si>
  <si>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</si>
  <si>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</si>
  <si>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</si>
  <si>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</si>
  <si>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</si>
  <si>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</si>
  <si>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</si>
  <si>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</si>
  <si>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</si>
  <si>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</si>
  <si>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</si>
  <si>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</si>
  <si>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</si>
  <si>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</si>
  <si>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The Jewish Center (v)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</si>
  <si>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</si>
  <si>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</si>
  <si>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</si>
  <si>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</si>
  <si>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</si>
  <si>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</si>
  <si>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</si>
  <si>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</si>
  <si>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</si>
  <si>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</si>
  <si>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</si>
  <si>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</si>
  <si>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</si>
  <si>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</si>
  <si>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</si>
  <si>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</si>
  <si>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</si>
  <si>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</si>
  <si>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</si>
  <si>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</si>
  <si>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</si>
  <si>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</si>
  <si>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</si>
  <si>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</si>
  <si>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</si>
  <si>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</si>
  <si>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</si>
  <si>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</si>
  <si>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</si>
  <si>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</si>
  <si>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</si>
  <si>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</si>
  <si>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</si>
  <si>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</si>
  <si>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</si>
  <si>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</si>
  <si>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</si>
  <si>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</si>
  <si>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</si>
  <si>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</si>
  <si>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</si>
  <si>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</si>
  <si>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</si>
  <si>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</si>
  <si>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</si>
  <si>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</si>
  <si>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</si>
  <si>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</si>
  <si>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</si>
  <si>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</si>
  <si>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</si>
  <si>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</si>
  <si>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</si>
  <si>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</si>
  <si>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60030 Miscellaneous Taxes &amp; Fees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</si>
  <si>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</si>
  <si>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</si>
  <si>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</si>
  <si>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</si>
  <si>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</si>
  <si>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</si>
  <si>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</si>
  <si>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</si>
  <si>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</si>
  <si>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</si>
  <si>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</si>
  <si>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</si>
  <si>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</si>
  <si>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 xml:space="preserve">      45300 Realized Gains and Losses</t>
  </si>
  <si>
    <t>Non-profit Accounting Solutions, LLC</t>
  </si>
  <si>
    <t>temporary help</t>
  </si>
  <si>
    <t xml:space="preserve">   60013 Vanguard Investment Fees</t>
  </si>
  <si>
    <t>Fiscal 2023</t>
  </si>
  <si>
    <t>Assets</t>
  </si>
  <si>
    <t>end of Mar</t>
  </si>
  <si>
    <t>say</t>
  </si>
  <si>
    <t>L &amp; L Budget exp</t>
  </si>
  <si>
    <t>Personnel</t>
  </si>
  <si>
    <t>Supplies</t>
  </si>
  <si>
    <t>Amy</t>
  </si>
  <si>
    <t>Kim</t>
  </si>
  <si>
    <t>rate</t>
  </si>
  <si>
    <t>per week</t>
  </si>
  <si>
    <t>extended</t>
  </si>
  <si>
    <t>Linda</t>
  </si>
  <si>
    <t>hrs</t>
  </si>
  <si>
    <t>weeks</t>
  </si>
  <si>
    <t>Website</t>
  </si>
  <si>
    <t>Merissa</t>
  </si>
  <si>
    <t>Month</t>
  </si>
  <si>
    <t>Incentive Grant</t>
  </si>
  <si>
    <t>Incentive</t>
  </si>
  <si>
    <t>Ann</t>
  </si>
  <si>
    <t>reporting</t>
  </si>
  <si>
    <t>3 hours</t>
  </si>
  <si>
    <t xml:space="preserve">Ann </t>
  </si>
  <si>
    <t>450/qtr</t>
  </si>
  <si>
    <t>tax benefits</t>
  </si>
  <si>
    <t>Training</t>
  </si>
  <si>
    <t>Marketing</t>
  </si>
  <si>
    <t>Travel</t>
  </si>
  <si>
    <t>Celebration</t>
  </si>
  <si>
    <t>paper</t>
  </si>
  <si>
    <t>toner</t>
  </si>
  <si>
    <t>Promotional</t>
  </si>
  <si>
    <t>Social Media</t>
  </si>
  <si>
    <t>Marketing:</t>
  </si>
  <si>
    <t>per JfedShawtrip</t>
  </si>
  <si>
    <t>Pa</t>
  </si>
  <si>
    <t>Mercer</t>
  </si>
  <si>
    <t># of trips</t>
  </si>
  <si>
    <t>Full</t>
  </si>
  <si>
    <t>Based on</t>
  </si>
  <si>
    <t>Staff in 2022</t>
  </si>
  <si>
    <t>Program</t>
  </si>
  <si>
    <t>L &amp; L New Program</t>
  </si>
  <si>
    <t>Col M +   Col P</t>
  </si>
  <si>
    <t>Allocated</t>
  </si>
  <si>
    <t>Budget for Continuing Operations</t>
  </si>
  <si>
    <t>Annual Budget</t>
  </si>
  <si>
    <t>Additional Revenue and Spending for L&amp;L Program</t>
  </si>
  <si>
    <t>Total Budget</t>
  </si>
  <si>
    <t>Total Estimated Fiscal 2022</t>
  </si>
  <si>
    <t>Variance</t>
  </si>
  <si>
    <t>plus student helper</t>
  </si>
  <si>
    <t>July - May, 2022</t>
  </si>
  <si>
    <t xml:space="preserve">   60000 L&amp;L Event</t>
  </si>
  <si>
    <t>Friday, Jun 10, 2022 01:44:15 PM GMT-7 - Accrual Basis</t>
  </si>
  <si>
    <t>As of May 31, 2022</t>
  </si>
  <si>
    <t>Friday, Jun 10, 2022 01:41:06 PM GMT-7 - Accrual Basis</t>
  </si>
  <si>
    <t>12.31.2021</t>
  </si>
  <si>
    <t>High</t>
  </si>
  <si>
    <t>Linda Meisel.</t>
  </si>
  <si>
    <t>Lox Stock &amp; Deli</t>
  </si>
  <si>
    <t>Marisa Reingle</t>
  </si>
  <si>
    <t>Friday, Jun 10, 2022 01:45:13 PM GMT-7</t>
  </si>
  <si>
    <t>Actual  July 21- May 22</t>
  </si>
  <si>
    <t xml:space="preserve">      L &amp; L HGF Grant</t>
  </si>
  <si>
    <t xml:space="preserve">      Withdrawal from Reserves</t>
  </si>
  <si>
    <t xml:space="preserve">     Celebrations</t>
  </si>
  <si>
    <t xml:space="preserve">     Incentive</t>
  </si>
  <si>
    <t xml:space="preserve">     Training</t>
  </si>
  <si>
    <t>Estimated June</t>
  </si>
  <si>
    <t>Asset Summary as of May 31, 2022</t>
  </si>
  <si>
    <t>05.31.2022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</si>
</sst>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  <numFmt numFmtId="172" formatCode="&quot;$&quot;* #,##0\ _€"/>
    <numFmt numFmtId="173" formatCode="0.000%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167" fontId="0" fillId="0" borderId="0" xfId="1" applyNumberFormat="1" applyFont="1"/>
    <xf numFmtId="0" fontId="0" fillId="0" borderId="0" xfId="0"/>
    <xf numFmtId="0" fontId="0" fillId="0" borderId="0" xfId="0"/>
    <xf numFmtId="0" fontId="22" fillId="0" borderId="0" xfId="0" applyFont="1" applyAlignment="1">
      <alignment horizontal="left" wrapText="1"/>
    </xf>
    <xf numFmtId="164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horizontal="right" wrapText="1"/>
    </xf>
    <xf numFmtId="165" fontId="22" fillId="0" borderId="2" xfId="0" applyNumberFormat="1" applyFont="1" applyBorder="1" applyAlignment="1">
      <alignment horizontal="right" wrapText="1"/>
    </xf>
    <xf numFmtId="167" fontId="0" fillId="0" borderId="0" xfId="1" applyNumberFormat="1" applyFont="1" applyFill="1"/>
    <xf numFmtId="0" fontId="0" fillId="0" borderId="0" xfId="0"/>
    <xf numFmtId="0" fontId="5" fillId="0" borderId="0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13" xfId="0" applyBorder="1"/>
    <xf numFmtId="0" fontId="0" fillId="0" borderId="0" xfId="0" applyFill="1" applyBorder="1"/>
    <xf numFmtId="43" fontId="0" fillId="0" borderId="1" xfId="0" applyNumberFormat="1" applyBorder="1"/>
    <xf numFmtId="0" fontId="2" fillId="0" borderId="0" xfId="0" applyFont="1"/>
    <xf numFmtId="0" fontId="0" fillId="0" borderId="2" xfId="0" applyBorder="1"/>
    <xf numFmtId="0" fontId="0" fillId="0" borderId="0" xfId="0" applyBorder="1"/>
    <xf numFmtId="43" fontId="0" fillId="0" borderId="3" xfId="0" applyNumberFormat="1" applyBorder="1"/>
    <xf numFmtId="0" fontId="0" fillId="0" borderId="1" xfId="0" applyBorder="1"/>
    <xf numFmtId="0" fontId="0" fillId="0" borderId="0" xfId="0"/>
    <xf numFmtId="164" fontId="3" fillId="0" borderId="0" xfId="0" applyNumberFormat="1" applyFont="1" applyFill="1" applyAlignment="1">
      <alignment horizontal="right" wrapText="1"/>
    </xf>
    <xf numFmtId="164" fontId="3" fillId="0" borderId="13" xfId="0" applyNumberFormat="1" applyFont="1" applyFill="1" applyBorder="1" applyAlignment="1">
      <alignment horizontal="right" wrapText="1"/>
    </xf>
    <xf numFmtId="43" fontId="0" fillId="0" borderId="0" xfId="0" applyNumberFormat="1" applyBorder="1"/>
    <xf numFmtId="164" fontId="3" fillId="0" borderId="14" xfId="0" applyNumberFormat="1" applyFont="1" applyFill="1" applyBorder="1" applyAlignment="1">
      <alignment horizontal="righ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64" fontId="3" fillId="0" borderId="17" xfId="0" applyNumberFormat="1" applyFont="1" applyFill="1" applyBorder="1" applyAlignment="1">
      <alignment horizontal="right" wrapText="1"/>
    </xf>
    <xf numFmtId="164" fontId="3" fillId="0" borderId="18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19" xfId="0" applyNumberFormat="1" applyFont="1" applyFill="1" applyBorder="1" applyAlignment="1">
      <alignment horizontal="right" wrapText="1"/>
    </xf>
    <xf numFmtId="165" fontId="4" fillId="0" borderId="20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4" fontId="3" fillId="0" borderId="22" xfId="0" applyNumberFormat="1" applyFont="1" applyFill="1" applyBorder="1" applyAlignment="1">
      <alignment horizontal="right" wrapText="1"/>
    </xf>
    <xf numFmtId="164" fontId="3" fillId="0" borderId="23" xfId="0" applyNumberFormat="1" applyFont="1" applyFill="1" applyBorder="1" applyAlignment="1">
      <alignment horizontal="right" wrapText="1"/>
    </xf>
    <xf numFmtId="164" fontId="3" fillId="0" borderId="24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center"/>
    </xf>
    <xf numFmtId="167" fontId="3" fillId="0" borderId="0" xfId="1" applyNumberFormat="1" applyFont="1" applyFill="1" applyAlignment="1">
      <alignment horizontal="right" wrapText="1"/>
    </xf>
    <xf numFmtId="167" fontId="4" fillId="0" borderId="2" xfId="1" applyNumberFormat="1" applyFont="1" applyBorder="1" applyAlignment="1">
      <alignment horizontal="right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167" fontId="4" fillId="0" borderId="0" xfId="1" applyNumberFormat="1" applyFont="1" applyBorder="1" applyAlignment="1">
      <alignment horizontal="right" wrapText="1"/>
    </xf>
    <xf numFmtId="0" fontId="0" fillId="0" borderId="0" xfId="0"/>
    <xf numFmtId="0" fontId="2" fillId="0" borderId="25" xfId="0" applyFont="1" applyBorder="1" applyAlignment="1">
      <alignment horizontal="center"/>
    </xf>
    <xf numFmtId="0" fontId="5" fillId="0" borderId="28" xfId="0" applyFont="1" applyFill="1" applyBorder="1" applyAlignment="1">
      <alignment horizontal="center" wrapText="1"/>
    </xf>
    <xf numFmtId="43" fontId="0" fillId="0" borderId="29" xfId="1" applyFont="1" applyBorder="1"/>
    <xf numFmtId="167" fontId="3" fillId="0" borderId="29" xfId="1" applyNumberFormat="1" applyFont="1" applyBorder="1" applyAlignment="1">
      <alignment horizontal="right" wrapText="1"/>
    </xf>
    <xf numFmtId="167" fontId="4" fillId="0" borderId="30" xfId="1" applyNumberFormat="1" applyFont="1" applyBorder="1" applyAlignment="1">
      <alignment horizontal="right" wrapText="1"/>
    </xf>
    <xf numFmtId="167" fontId="3" fillId="0" borderId="29" xfId="1" applyNumberFormat="1" applyFont="1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167" fontId="12" fillId="0" borderId="1" xfId="1" applyNumberFormat="1" applyFont="1" applyBorder="1"/>
    <xf numFmtId="172" fontId="4" fillId="0" borderId="2" xfId="0" applyNumberFormat="1" applyFont="1" applyBorder="1" applyAlignment="1">
      <alignment horizontal="right" wrapText="1"/>
    </xf>
    <xf numFmtId="167" fontId="4" fillId="0" borderId="12" xfId="1" applyNumberFormat="1" applyFont="1" applyBorder="1" applyAlignment="1">
      <alignment horizontal="right" wrapText="1"/>
    </xf>
    <xf numFmtId="167" fontId="4" fillId="0" borderId="31" xfId="1" applyNumberFormat="1" applyFont="1" applyBorder="1" applyAlignment="1">
      <alignment horizontal="right" wrapText="1"/>
    </xf>
    <xf numFmtId="172" fontId="4" fillId="0" borderId="30" xfId="0" applyNumberFormat="1" applyFont="1" applyBorder="1" applyAlignment="1">
      <alignment horizontal="right" wrapText="1"/>
    </xf>
    <xf numFmtId="167" fontId="3" fillId="0" borderId="0" xfId="1" applyNumberFormat="1" applyFont="1" applyFill="1" applyAlignment="1">
      <alignment wrapText="1"/>
    </xf>
    <xf numFmtId="167" fontId="3" fillId="0" borderId="30" xfId="1" applyNumberFormat="1" applyFont="1" applyBorder="1" applyAlignment="1">
      <alignment horizontal="right" wrapText="1"/>
    </xf>
    <xf numFmtId="0" fontId="0" fillId="0" borderId="29" xfId="0" applyBorder="1"/>
    <xf numFmtId="167" fontId="4" fillId="0" borderId="0" xfId="1" applyNumberFormat="1" applyFont="1" applyAlignment="1">
      <alignment horizontal="right" wrapText="1"/>
    </xf>
    <xf numFmtId="167" fontId="4" fillId="0" borderId="29" xfId="1" applyNumberFormat="1" applyFont="1" applyBorder="1" applyAlignment="1">
      <alignment horizontal="right" wrapText="1"/>
    </xf>
    <xf numFmtId="167" fontId="4" fillId="0" borderId="0" xfId="1" applyNumberFormat="1" applyFont="1" applyFill="1" applyAlignment="1">
      <alignment horizontal="right" wrapText="1"/>
    </xf>
    <xf numFmtId="167" fontId="3" fillId="0" borderId="0" xfId="1" applyNumberFormat="1" applyFont="1" applyBorder="1" applyAlignment="1">
      <alignment wrapText="1"/>
    </xf>
    <xf numFmtId="167" fontId="3" fillId="0" borderId="0" xfId="1" applyNumberFormat="1" applyFont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right" wrapText="1"/>
    </xf>
    <xf numFmtId="10" fontId="4" fillId="4" borderId="2" xfId="0" applyNumberFormat="1" applyFont="1" applyFill="1" applyBorder="1" applyAlignment="1">
      <alignment horizontal="right" wrapText="1"/>
    </xf>
    <xf numFmtId="13" fontId="0" fillId="0" borderId="0" xfId="1" applyNumberFormat="1" applyFont="1"/>
    <xf numFmtId="173" fontId="3" fillId="0" borderId="0" xfId="3" applyNumberFormat="1" applyFont="1" applyFill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6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7" zoomScale="120" zoomScaleNormal="120" workbookViewId="0">
      <pane xSplit="3" ySplit="2" topLeftCell="J12" activePane="bottomRight" state="frozen"/>
      <selection activeCell="B7" sqref="B7"/>
      <selection pane="topRight" activeCell="E7" sqref="E7"/>
      <selection pane="bottomLeft" activeCell="B9" sqref="B9"/>
      <selection pane="bottomRight" activeCell="D20" sqref="D20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165" t="s">
        <v>138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24" s="41" customFormat="1" ht="26.25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24" s="41" customFormat="1" ht="26.25" x14ac:dyDescent="0.4">
      <c r="A3" s="166" t="s">
        <v>154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24" s="41" customFormat="1" ht="26.25" x14ac:dyDescent="0.4">
      <c r="A4" s="166" t="s">
        <v>155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24" s="41" customFormat="1" ht="26.25" x14ac:dyDescent="0.2">
      <c r="A5" s="167" t="s">
        <v>140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156</v>
      </c>
      <c r="F8" s="44" t="s">
        <v>157</v>
      </c>
      <c r="G8" s="44" t="s">
        <v>158</v>
      </c>
      <c r="H8" s="44" t="s">
        <v>159</v>
      </c>
      <c r="I8" s="44" t="s">
        <v>160</v>
      </c>
      <c r="J8" s="44" t="s">
        <v>161</v>
      </c>
      <c r="K8" s="44" t="s">
        <v>162</v>
      </c>
      <c r="L8" s="44" t="s">
        <v>163</v>
      </c>
      <c r="M8" s="44" t="s">
        <v>164</v>
      </c>
      <c r="N8" s="44" t="s">
        <v>189</v>
      </c>
      <c r="O8" s="45" t="s">
        <v>165</v>
      </c>
      <c r="P8" s="46"/>
    </row>
    <row r="9" spans="1:24" s="41" customFormat="1" ht="23.25" x14ac:dyDescent="0.35">
      <c r="A9" s="26"/>
      <c r="B9" s="47" t="s">
        <v>166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167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168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2570622/10^6</f>
        <v>2.5706220000000002</v>
      </c>
      <c r="O12" s="57">
        <f>SUM(E12:N12)</f>
        <v>14.848285989999999</v>
      </c>
      <c r="P12" s="50"/>
    </row>
    <row r="13" spans="1:24" s="41" customFormat="1" ht="18" customHeight="1" x14ac:dyDescent="0.3">
      <c r="B13" s="54" t="s">
        <v>169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-1597465/10^6</f>
        <v>-1.5974649999999999</v>
      </c>
      <c r="O13" s="57">
        <f t="shared" ref="O13:O15" si="2">SUM(E13:N13)</f>
        <v>-12.34408792</v>
      </c>
      <c r="P13" s="50"/>
      <c r="W13" s="41" t="s">
        <v>170</v>
      </c>
    </row>
    <row r="14" spans="1:24" s="41" customFormat="1" ht="18" customHeight="1" x14ac:dyDescent="0.3">
      <c r="B14" s="54" t="s">
        <v>171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+(268849-1918695)/10^6</f>
        <v>-1.6498459999999999</v>
      </c>
      <c r="O14" s="57">
        <f t="shared" si="2"/>
        <v>5.5835110400000003</v>
      </c>
      <c r="P14" s="50"/>
    </row>
    <row r="15" spans="1:24" s="41" customFormat="1" ht="18" customHeight="1" x14ac:dyDescent="0.3">
      <c r="B15" s="54" t="s">
        <v>172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-150665/10^6</f>
        <v>-0.15066499999999999</v>
      </c>
      <c r="O15" s="92">
        <f t="shared" si="2"/>
        <v>-1.0142274300000003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74</v>
      </c>
      <c r="W16" s="63">
        <v>1638838.98</v>
      </c>
    </row>
    <row r="17" spans="1:24" s="41" customFormat="1" ht="19.5" thickBot="1" x14ac:dyDescent="0.35">
      <c r="B17" s="54" t="s">
        <v>173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13.853408139999999</v>
      </c>
      <c r="O17" s="65">
        <f>SUM(O11:O15)</f>
        <v>13.853408140000001</v>
      </c>
      <c r="P17" s="66"/>
      <c r="V17" s="41" t="s">
        <v>73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72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-1.800511</v>
      </c>
      <c r="O19" s="56"/>
      <c r="V19" s="69" t="s">
        <v>174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-0.12996881213665015</v>
      </c>
      <c r="O20" s="71"/>
      <c r="V20" s="41" t="s">
        <v>71</v>
      </c>
      <c r="W20" s="63">
        <v>1711871.0999999999</v>
      </c>
    </row>
    <row r="21" spans="1:24" s="41" customFormat="1" ht="18.75" customHeight="1" x14ac:dyDescent="0.25">
      <c r="A21" s="26"/>
      <c r="B21" s="72" t="s">
        <v>175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70</v>
      </c>
      <c r="W21" s="63">
        <v>-85190.720000000001</v>
      </c>
    </row>
    <row r="22" spans="1:24" s="41" customFormat="1" ht="18.75" customHeight="1" x14ac:dyDescent="0.25">
      <c r="A22" s="26"/>
      <c r="B22" s="72" t="s">
        <v>176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69</v>
      </c>
      <c r="W22" s="63">
        <v>3563003.53</v>
      </c>
    </row>
    <row r="23" spans="1:24" ht="18.75" x14ac:dyDescent="0.3">
      <c r="A23" s="73"/>
      <c r="B23" s="74"/>
      <c r="V23" s="26" t="s">
        <v>67</v>
      </c>
      <c r="W23" s="61"/>
    </row>
    <row r="24" spans="1:24" ht="24" thickBot="1" x14ac:dyDescent="0.4">
      <c r="A24" s="73"/>
      <c r="B24" s="47" t="s">
        <v>177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66</v>
      </c>
      <c r="W24" s="61"/>
    </row>
    <row r="25" spans="1:24" ht="15.75" thickTop="1" x14ac:dyDescent="0.25">
      <c r="M25" s="26">
        <v>17</v>
      </c>
      <c r="V25" s="26" t="s">
        <v>65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178</v>
      </c>
      <c r="C29" s="76" t="s">
        <v>179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180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181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182</v>
      </c>
    </row>
    <row r="33" spans="2:10" x14ac:dyDescent="0.25">
      <c r="B33" s="77" t="s">
        <v>183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184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185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186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187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188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D44"/>
  <sheetViews>
    <sheetView topLeftCell="B1" zoomScale="130" zoomScaleNormal="130" workbookViewId="0">
      <pane xSplit="1" ySplit="9" topLeftCell="C28" activePane="bottomRight" state="frozen"/>
      <selection activeCell="B1" sqref="B1"/>
      <selection pane="topRight" activeCell="C1" sqref="C1"/>
      <selection pane="bottomLeft" activeCell="B10" sqref="B10"/>
      <selection pane="bottomRight" activeCell="D29" sqref="D29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13" width="10.28515625" style="10" customWidth="1"/>
    <col min="14" max="14" width="13.5703125" style="10" bestFit="1" customWidth="1"/>
    <col min="15" max="15" width="13.28515625" style="10" bestFit="1" customWidth="1"/>
    <col min="16" max="20" width="10.28515625" style="10" customWidth="1"/>
    <col min="21" max="21" width="14.28515625" style="10" bestFit="1" customWidth="1"/>
    <col min="22" max="22" width="12.5703125" style="10" customWidth="1"/>
    <col min="23" max="23" width="11.28515625" style="10" bestFit="1" customWidth="1"/>
    <col min="24" max="25" width="9.140625" style="10"/>
    <col min="26" max="26" width="16.5703125" style="10" customWidth="1"/>
    <col min="27" max="27" width="15.7109375" style="10" customWidth="1"/>
    <col min="28" max="28" width="16.85546875" style="10" customWidth="1"/>
    <col min="29" max="16384" width="9.140625" style="10"/>
  </cols>
  <sheetData>
    <row r="1" spans="2:30" ht="18" customHeight="1" x14ac:dyDescent="0.25">
      <c r="B1" s="168" t="s">
        <v>138</v>
      </c>
      <c r="C1" s="168"/>
      <c r="D1" s="168"/>
      <c r="E1" s="168"/>
      <c r="F1" s="168"/>
    </row>
    <row r="2" spans="2:30" ht="21" x14ac:dyDescent="0.25">
      <c r="B2" s="168" t="s">
        <v>139</v>
      </c>
      <c r="C2" s="168"/>
      <c r="D2" s="168"/>
      <c r="E2" s="168"/>
      <c r="F2" s="168"/>
    </row>
    <row r="3" spans="2:30" ht="21" customHeight="1" x14ac:dyDescent="0.25">
      <c r="B3" s="168" t="s">
        <v>280</v>
      </c>
      <c r="C3" s="168"/>
      <c r="D3" s="168"/>
      <c r="E3" s="168"/>
      <c r="F3" s="168"/>
    </row>
    <row r="4" spans="2:30" ht="18" customHeight="1" x14ac:dyDescent="0.25">
      <c r="B4" s="168" t="s">
        <v>140</v>
      </c>
      <c r="C4" s="168"/>
      <c r="D4" s="168"/>
      <c r="E4" s="168"/>
      <c r="F4" s="168"/>
    </row>
    <row r="6" spans="2:30" ht="12.95" customHeight="1" x14ac:dyDescent="0.25">
      <c r="D6" s="11"/>
      <c r="E6" s="12"/>
      <c r="F6" s="13"/>
      <c r="N6" s="10" t="s">
        <v>268</v>
      </c>
    </row>
    <row r="7" spans="2:30" ht="12.95" customHeight="1" x14ac:dyDescent="0.25">
      <c r="D7" s="11"/>
      <c r="E7" s="12"/>
      <c r="F7" s="14"/>
    </row>
    <row r="8" spans="2:30" ht="12.95" hidden="1" customHeight="1" x14ac:dyDescent="0.25">
      <c r="D8" s="11"/>
      <c r="E8" s="12"/>
      <c r="F8" s="13"/>
      <c r="X8" s="2"/>
      <c r="Y8" s="2"/>
      <c r="Z8" s="2"/>
      <c r="AA8" s="2"/>
      <c r="AB8" s="2"/>
      <c r="AC8" s="2"/>
    </row>
    <row r="9" spans="2:30" ht="12.95" customHeight="1" x14ac:dyDescent="0.25">
      <c r="C9" s="15"/>
      <c r="D9" s="16"/>
      <c r="E9" s="17"/>
      <c r="F9" s="18" t="s">
        <v>281</v>
      </c>
      <c r="N9" s="10" t="s">
        <v>267</v>
      </c>
      <c r="O9" s="10" t="s">
        <v>260</v>
      </c>
      <c r="X9" s="2"/>
      <c r="Y9" s="2"/>
      <c r="Z9" s="2"/>
      <c r="AA9" s="2"/>
      <c r="AB9" s="2"/>
      <c r="AC9" s="2"/>
    </row>
    <row r="10" spans="2:30" ht="12.95" customHeight="1" x14ac:dyDescent="0.25">
      <c r="B10" s="19" t="s">
        <v>141</v>
      </c>
      <c r="C10" s="15"/>
      <c r="D10" s="16"/>
      <c r="E10" s="17"/>
      <c r="F10" s="20"/>
      <c r="X10" s="2"/>
      <c r="Y10" s="2"/>
      <c r="Z10" s="2"/>
      <c r="AA10" s="2"/>
      <c r="AB10" s="2"/>
      <c r="AC10" s="2"/>
      <c r="AD10" s="21"/>
    </row>
    <row r="11" spans="2:30" ht="12.95" customHeight="1" x14ac:dyDescent="0.25">
      <c r="B11" s="22" t="s">
        <v>142</v>
      </c>
      <c r="D11" s="23"/>
      <c r="E11" s="17"/>
      <c r="F11" s="24">
        <v>2831650.14</v>
      </c>
      <c r="N11" s="25">
        <v>3201659</v>
      </c>
      <c r="O11" s="25">
        <f>+F11-N11</f>
        <v>-370008.85999999987</v>
      </c>
      <c r="U11" s="25"/>
      <c r="X11" s="2"/>
      <c r="Y11" s="2"/>
      <c r="Z11" s="2"/>
      <c r="AA11" s="2"/>
      <c r="AB11" s="2"/>
      <c r="AC11" s="2"/>
      <c r="AD11" s="26"/>
    </row>
    <row r="12" spans="2:30" ht="12.95" hidden="1" customHeight="1" x14ac:dyDescent="0.25">
      <c r="D12" s="27"/>
      <c r="F12" s="20"/>
      <c r="N12" s="25"/>
      <c r="U12" s="25"/>
      <c r="X12" s="2"/>
      <c r="Y12" s="2"/>
      <c r="Z12" s="2"/>
      <c r="AA12" s="2"/>
      <c r="AB12" s="2"/>
      <c r="AC12" s="2"/>
      <c r="AD12" s="26"/>
    </row>
    <row r="13" spans="2:30" ht="12.95" customHeight="1" x14ac:dyDescent="0.25">
      <c r="D13" s="27"/>
      <c r="F13" s="20"/>
      <c r="N13" s="25"/>
      <c r="U13" s="25"/>
      <c r="X13" s="2"/>
      <c r="Y13" s="2"/>
      <c r="Z13" s="2"/>
      <c r="AA13" s="2"/>
      <c r="AB13" s="2"/>
      <c r="AC13" s="2"/>
      <c r="AD13" s="26"/>
    </row>
    <row r="14" spans="2:30" ht="12.95" customHeight="1" x14ac:dyDescent="0.25">
      <c r="B14" s="19" t="s">
        <v>143</v>
      </c>
      <c r="D14" s="27"/>
      <c r="F14" s="28"/>
      <c r="N14" s="25"/>
      <c r="U14" s="25"/>
      <c r="X14" s="2"/>
      <c r="Y14" s="2"/>
      <c r="Z14" s="2"/>
      <c r="AA14" s="2"/>
      <c r="AB14" s="2"/>
      <c r="AC14" s="2"/>
    </row>
    <row r="15" spans="2:30" ht="12.95" hidden="1" customHeight="1" x14ac:dyDescent="0.25">
      <c r="D15" s="27"/>
      <c r="F15" s="20"/>
      <c r="N15" s="25"/>
      <c r="U15" s="25"/>
      <c r="X15" s="2"/>
      <c r="Y15" s="2"/>
      <c r="Z15" s="2"/>
      <c r="AA15" s="2"/>
      <c r="AB15" s="2"/>
      <c r="AC15" s="2"/>
    </row>
    <row r="16" spans="2:30" ht="12.95" customHeight="1" x14ac:dyDescent="0.25">
      <c r="B16" s="22" t="s">
        <v>144</v>
      </c>
      <c r="C16" s="22"/>
      <c r="D16" s="27"/>
      <c r="F16" s="20">
        <v>6271781.9100000001</v>
      </c>
      <c r="G16" s="29"/>
      <c r="H16" s="29"/>
      <c r="I16" s="29"/>
      <c r="J16" s="29"/>
      <c r="K16" s="29"/>
      <c r="L16" s="29"/>
      <c r="M16" s="29"/>
      <c r="N16" s="29">
        <v>7176043</v>
      </c>
      <c r="O16" s="25">
        <f>+F16-N16</f>
        <v>-904261.08999999985</v>
      </c>
      <c r="P16" s="29"/>
      <c r="Q16" s="29"/>
      <c r="R16" s="29"/>
      <c r="S16" s="29"/>
      <c r="T16" s="29"/>
      <c r="U16" s="25"/>
      <c r="V16" s="30"/>
      <c r="X16" s="2"/>
      <c r="Y16" s="2"/>
      <c r="Z16" s="2"/>
      <c r="AA16" s="2"/>
      <c r="AB16" s="2"/>
      <c r="AC16" s="2"/>
    </row>
    <row r="17" spans="2:29" ht="12.95" customHeight="1" x14ac:dyDescent="0.25">
      <c r="D17" s="27"/>
      <c r="N17" s="25"/>
      <c r="U17" s="25"/>
      <c r="X17" s="2"/>
      <c r="Y17" s="2"/>
      <c r="Z17" s="2"/>
      <c r="AA17" s="2"/>
      <c r="AB17" s="2"/>
      <c r="AC17" s="2"/>
    </row>
    <row r="18" spans="2:29" ht="12.95" hidden="1" customHeight="1" x14ac:dyDescent="0.25">
      <c r="D18" s="27"/>
      <c r="F18" s="20"/>
      <c r="N18" s="25"/>
      <c r="X18" s="2"/>
      <c r="Y18" s="2"/>
      <c r="Z18" s="2"/>
      <c r="AA18" s="2"/>
      <c r="AB18" s="2"/>
      <c r="AC18" s="2"/>
    </row>
    <row r="19" spans="2:29" ht="12.95" customHeight="1" x14ac:dyDescent="0.25">
      <c r="B19" s="19" t="s">
        <v>145</v>
      </c>
      <c r="D19" s="27"/>
      <c r="F19" s="28"/>
      <c r="N19" s="25"/>
      <c r="X19" s="2"/>
      <c r="Y19" s="2"/>
      <c r="Z19" s="2"/>
      <c r="AA19" s="2"/>
      <c r="AB19" s="2"/>
      <c r="AC19" s="2"/>
    </row>
    <row r="20" spans="2:29" ht="12.95" hidden="1" customHeight="1" x14ac:dyDescent="0.25">
      <c r="D20" s="31"/>
      <c r="F20" s="20"/>
      <c r="N20" s="25"/>
    </row>
    <row r="21" spans="2:29" ht="12.95" customHeight="1" x14ac:dyDescent="0.25">
      <c r="B21" s="22" t="s">
        <v>146</v>
      </c>
      <c r="C21" s="22"/>
      <c r="D21" s="25"/>
      <c r="F21" s="20">
        <v>742694.71</v>
      </c>
      <c r="G21" s="29"/>
      <c r="H21" s="29"/>
      <c r="I21" s="29"/>
      <c r="J21" s="29"/>
      <c r="K21" s="29"/>
      <c r="L21" s="29"/>
      <c r="M21" s="29"/>
      <c r="N21" s="29">
        <v>846660</v>
      </c>
      <c r="O21" s="25">
        <f>+F21-N21</f>
        <v>-103965.29000000004</v>
      </c>
      <c r="P21" s="29"/>
      <c r="Q21" s="29"/>
      <c r="R21" s="29"/>
      <c r="S21" s="29"/>
      <c r="T21" s="29"/>
      <c r="U21" s="30"/>
      <c r="V21" s="30"/>
    </row>
    <row r="22" spans="2:29" ht="12.95" customHeight="1" x14ac:dyDescent="0.25">
      <c r="D22" s="25"/>
      <c r="F22" s="20"/>
      <c r="N22" s="25"/>
    </row>
    <row r="23" spans="2:29" ht="12.95" hidden="1" customHeight="1" x14ac:dyDescent="0.25">
      <c r="F23" s="20"/>
      <c r="N23" s="25"/>
    </row>
    <row r="24" spans="2:29" ht="12.95" customHeight="1" x14ac:dyDescent="0.25">
      <c r="B24" s="19" t="s">
        <v>190</v>
      </c>
      <c r="F24" s="32">
        <v>4071512.81</v>
      </c>
      <c r="N24" s="25">
        <v>4752663</v>
      </c>
      <c r="O24" s="25">
        <f>+F24-N24</f>
        <v>-681150.19</v>
      </c>
    </row>
    <row r="25" spans="2:29" ht="12.95" hidden="1" customHeight="1" x14ac:dyDescent="0.25">
      <c r="F25" s="33"/>
      <c r="N25" s="25"/>
    </row>
    <row r="26" spans="2:29" ht="12.95" customHeight="1" x14ac:dyDescent="0.25">
      <c r="F26" s="33"/>
      <c r="N26" s="25"/>
    </row>
    <row r="27" spans="2:29" ht="12.95" customHeight="1" x14ac:dyDescent="0.25">
      <c r="B27" s="19" t="s">
        <v>147</v>
      </c>
      <c r="F27" s="34">
        <v>426286.97</v>
      </c>
      <c r="N27" s="148">
        <v>496286</v>
      </c>
      <c r="O27" s="148">
        <f>+F27-N27</f>
        <v>-69999.030000000028</v>
      </c>
    </row>
    <row r="28" spans="2:29" ht="12.95" customHeight="1" x14ac:dyDescent="0.25">
      <c r="B28" s="19"/>
      <c r="V28" s="35"/>
    </row>
    <row r="29" spans="2:29" ht="15.75" thickBot="1" x14ac:dyDescent="0.3">
      <c r="B29" s="19" t="s">
        <v>148</v>
      </c>
      <c r="F29" s="36">
        <f>SUM(F11:F28)</f>
        <v>14343926.540000003</v>
      </c>
      <c r="N29" s="36">
        <f>SUM(N11:N28)</f>
        <v>16473311</v>
      </c>
      <c r="O29" s="36">
        <f>SUM(O11:O28)</f>
        <v>-2129384.46</v>
      </c>
    </row>
    <row r="30" spans="2:29" ht="15.75" thickTop="1" x14ac:dyDescent="0.25">
      <c r="B30" s="19"/>
      <c r="F30" s="37"/>
    </row>
    <row r="31" spans="2:29" x14ac:dyDescent="0.25">
      <c r="B31" s="19"/>
      <c r="F31" s="37"/>
    </row>
    <row r="32" spans="2:29" x14ac:dyDescent="0.25">
      <c r="B32" s="19"/>
      <c r="F32" s="37"/>
    </row>
    <row r="33" spans="2:30" x14ac:dyDescent="0.25">
      <c r="B33" s="19"/>
      <c r="F33" s="25"/>
    </row>
    <row r="34" spans="2:30" x14ac:dyDescent="0.25">
      <c r="D34" s="10" t="s">
        <v>149</v>
      </c>
      <c r="F34" s="35">
        <f>+F29-F27</f>
        <v>13917639.570000002</v>
      </c>
    </row>
    <row r="36" spans="2:30" x14ac:dyDescent="0.25">
      <c r="F36" s="38"/>
      <c r="U36" s="39"/>
    </row>
    <row r="37" spans="2:30" x14ac:dyDescent="0.25">
      <c r="D37" s="89"/>
      <c r="E37" s="90"/>
      <c r="F37" s="40"/>
    </row>
    <row r="38" spans="2:30" x14ac:dyDescent="0.25">
      <c r="D38" s="90"/>
      <c r="E38" s="90"/>
      <c r="F38" s="40"/>
      <c r="AD38" s="10" t="s">
        <v>150</v>
      </c>
    </row>
    <row r="39" spans="2:30" x14ac:dyDescent="0.25">
      <c r="D39" s="90"/>
      <c r="E39" s="90"/>
      <c r="F39" s="40"/>
      <c r="AD39" s="10" t="s">
        <v>151</v>
      </c>
    </row>
    <row r="40" spans="2:30" x14ac:dyDescent="0.25">
      <c r="D40" s="90"/>
      <c r="E40" s="90"/>
      <c r="F40" s="40"/>
      <c r="AD40" s="10" t="s">
        <v>152</v>
      </c>
    </row>
    <row r="41" spans="2:30" x14ac:dyDescent="0.25">
      <c r="F41" s="40"/>
      <c r="AD41" s="10" t="s">
        <v>153</v>
      </c>
    </row>
    <row r="42" spans="2:30" x14ac:dyDescent="0.25">
      <c r="F42" s="29"/>
    </row>
    <row r="43" spans="2:30" x14ac:dyDescent="0.25">
      <c r="F43" s="29"/>
    </row>
    <row r="44" spans="2:30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27" workbookViewId="0">
      <selection activeCell="D12" sqref="D12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71" t="s">
        <v>59</v>
      </c>
      <c r="B1" s="170"/>
    </row>
    <row r="2" spans="1:2" ht="18" x14ac:dyDescent="0.25">
      <c r="A2" s="171" t="s">
        <v>60</v>
      </c>
      <c r="B2" s="170"/>
    </row>
    <row r="3" spans="1:2" x14ac:dyDescent="0.25">
      <c r="A3" s="172" t="s">
        <v>265</v>
      </c>
      <c r="B3" s="170"/>
    </row>
    <row r="4" spans="1:2" x14ac:dyDescent="0.25">
      <c r="A4" s="145"/>
      <c r="B4" s="145"/>
    </row>
    <row r="5" spans="1:2" x14ac:dyDescent="0.25">
      <c r="A5" s="1"/>
      <c r="B5" s="147" t="s">
        <v>0</v>
      </c>
    </row>
    <row r="6" spans="1:2" x14ac:dyDescent="0.25">
      <c r="A6" s="96" t="s">
        <v>1</v>
      </c>
      <c r="B6" s="97"/>
    </row>
    <row r="7" spans="1:2" x14ac:dyDescent="0.25">
      <c r="A7" s="96" t="s">
        <v>2</v>
      </c>
      <c r="B7" s="97"/>
    </row>
    <row r="8" spans="1:2" x14ac:dyDescent="0.25">
      <c r="A8" s="96" t="s">
        <v>3</v>
      </c>
      <c r="B8" s="97"/>
    </row>
    <row r="9" spans="1:2" x14ac:dyDescent="0.25">
      <c r="A9" s="96" t="s">
        <v>4</v>
      </c>
      <c r="B9" s="98">
        <f>0</f>
        <v>0</v>
      </c>
    </row>
    <row r="10" spans="1:2" x14ac:dyDescent="0.25">
      <c r="A10" s="96" t="s">
        <v>5</v>
      </c>
      <c r="B10" s="98">
        <f>5854.33</f>
        <v>5854.33</v>
      </c>
    </row>
    <row r="11" spans="1:2" x14ac:dyDescent="0.25">
      <c r="A11" s="96" t="s">
        <v>6</v>
      </c>
      <c r="B11" s="98">
        <f>7960.86</f>
        <v>7960.86</v>
      </c>
    </row>
    <row r="12" spans="1:2" x14ac:dyDescent="0.25">
      <c r="A12" s="96" t="s">
        <v>7</v>
      </c>
      <c r="B12" s="98">
        <f>16331.57</f>
        <v>16331.57</v>
      </c>
    </row>
    <row r="13" spans="1:2" x14ac:dyDescent="0.25">
      <c r="A13" s="96" t="s">
        <v>8</v>
      </c>
      <c r="B13" s="98">
        <f>371.23</f>
        <v>371.23</v>
      </c>
    </row>
    <row r="14" spans="1:2" x14ac:dyDescent="0.25">
      <c r="A14" s="96" t="s">
        <v>9</v>
      </c>
      <c r="B14" s="99">
        <f>((((B9)+(B10))+(B11))+(B12))+(B13)</f>
        <v>30517.989999999998</v>
      </c>
    </row>
    <row r="15" spans="1:2" x14ac:dyDescent="0.25">
      <c r="A15" s="96" t="s">
        <v>10</v>
      </c>
      <c r="B15" s="97"/>
    </row>
    <row r="16" spans="1:2" x14ac:dyDescent="0.25">
      <c r="A16" s="96" t="s">
        <v>11</v>
      </c>
      <c r="B16" s="98">
        <f>0</f>
        <v>0</v>
      </c>
    </row>
    <row r="17" spans="1:2" x14ac:dyDescent="0.25">
      <c r="A17" s="96" t="s">
        <v>12</v>
      </c>
      <c r="B17" s="99">
        <f>B16</f>
        <v>0</v>
      </c>
    </row>
    <row r="18" spans="1:2" x14ac:dyDescent="0.25">
      <c r="A18" s="96" t="s">
        <v>13</v>
      </c>
      <c r="B18" s="97"/>
    </row>
    <row r="19" spans="1:2" x14ac:dyDescent="0.25">
      <c r="A19" s="96" t="s">
        <v>14</v>
      </c>
      <c r="B19" s="98">
        <f>0</f>
        <v>0</v>
      </c>
    </row>
    <row r="20" spans="1:2" x14ac:dyDescent="0.25">
      <c r="A20" s="96" t="s">
        <v>15</v>
      </c>
      <c r="B20" s="99">
        <f>B19</f>
        <v>0</v>
      </c>
    </row>
    <row r="21" spans="1:2" x14ac:dyDescent="0.25">
      <c r="A21" s="96" t="s">
        <v>16</v>
      </c>
      <c r="B21" s="99">
        <f>((B14)+(B17))+(B20)</f>
        <v>30517.989999999998</v>
      </c>
    </row>
    <row r="22" spans="1:2" x14ac:dyDescent="0.25">
      <c r="A22" s="96" t="s">
        <v>17</v>
      </c>
      <c r="B22" s="97"/>
    </row>
    <row r="23" spans="1:2" x14ac:dyDescent="0.25">
      <c r="A23" s="96" t="s">
        <v>18</v>
      </c>
      <c r="B23" s="98">
        <f>2328.97</f>
        <v>2328.9699999999998</v>
      </c>
    </row>
    <row r="24" spans="1:2" x14ac:dyDescent="0.25">
      <c r="A24" s="96" t="s">
        <v>19</v>
      </c>
      <c r="B24" s="98">
        <f>-1099.61</f>
        <v>-1099.6099999999999</v>
      </c>
    </row>
    <row r="25" spans="1:2" x14ac:dyDescent="0.25">
      <c r="A25" s="96" t="s">
        <v>20</v>
      </c>
      <c r="B25" s="99">
        <f>(B23)+(B24)</f>
        <v>1229.3599999999999</v>
      </c>
    </row>
    <row r="26" spans="1:2" x14ac:dyDescent="0.25">
      <c r="A26" s="96" t="s">
        <v>21</v>
      </c>
      <c r="B26" s="99">
        <f>B25</f>
        <v>1229.3599999999999</v>
      </c>
    </row>
    <row r="27" spans="1:2" x14ac:dyDescent="0.25">
      <c r="A27" s="96" t="s">
        <v>22</v>
      </c>
      <c r="B27" s="97"/>
    </row>
    <row r="28" spans="1:2" x14ac:dyDescent="0.25">
      <c r="A28" s="96" t="s">
        <v>23</v>
      </c>
      <c r="B28" s="98">
        <f>0</f>
        <v>0</v>
      </c>
    </row>
    <row r="29" spans="1:2" x14ac:dyDescent="0.25">
      <c r="A29" s="96" t="s">
        <v>24</v>
      </c>
      <c r="B29" s="98">
        <f>11520384.63</f>
        <v>11520384.630000001</v>
      </c>
    </row>
    <row r="30" spans="1:2" x14ac:dyDescent="0.25">
      <c r="A30" s="96" t="s">
        <v>25</v>
      </c>
      <c r="B30" s="98">
        <f>2809778.77</f>
        <v>2809778.77</v>
      </c>
    </row>
    <row r="31" spans="1:2" x14ac:dyDescent="0.25">
      <c r="A31" s="96" t="s">
        <v>26</v>
      </c>
      <c r="B31" s="98">
        <f>6767.37</f>
        <v>6767.37</v>
      </c>
    </row>
    <row r="32" spans="1:2" x14ac:dyDescent="0.25">
      <c r="A32" s="96" t="s">
        <v>27</v>
      </c>
      <c r="B32" s="99">
        <f>(((B28)+(B29))+(B30))+(B31)</f>
        <v>14336930.77</v>
      </c>
    </row>
    <row r="33" spans="1:2" x14ac:dyDescent="0.25">
      <c r="A33" s="96" t="s">
        <v>28</v>
      </c>
      <c r="B33" s="98">
        <f>0</f>
        <v>0</v>
      </c>
    </row>
    <row r="34" spans="1:2" x14ac:dyDescent="0.25">
      <c r="A34" s="96" t="s">
        <v>29</v>
      </c>
      <c r="B34" s="98">
        <f>0</f>
        <v>0</v>
      </c>
    </row>
    <row r="35" spans="1:2" x14ac:dyDescent="0.25">
      <c r="A35" s="96" t="s">
        <v>30</v>
      </c>
      <c r="B35" s="99">
        <f>(B33)+(B34)</f>
        <v>0</v>
      </c>
    </row>
    <row r="36" spans="1:2" x14ac:dyDescent="0.25">
      <c r="A36" s="96" t="s">
        <v>31</v>
      </c>
      <c r="B36" s="98">
        <f>54546.89</f>
        <v>54546.89</v>
      </c>
    </row>
    <row r="37" spans="1:2" x14ac:dyDescent="0.25">
      <c r="A37" s="96" t="s">
        <v>32</v>
      </c>
      <c r="B37" s="98">
        <f>10561.69</f>
        <v>10561.69</v>
      </c>
    </row>
    <row r="38" spans="1:2" x14ac:dyDescent="0.25">
      <c r="A38" s="96" t="s">
        <v>33</v>
      </c>
      <c r="B38" s="98">
        <f>0</f>
        <v>0</v>
      </c>
    </row>
    <row r="39" spans="1:2" x14ac:dyDescent="0.25">
      <c r="A39" s="96" t="s">
        <v>34</v>
      </c>
      <c r="B39" s="98">
        <f>0</f>
        <v>0</v>
      </c>
    </row>
    <row r="40" spans="1:2" x14ac:dyDescent="0.25">
      <c r="A40" s="96" t="s">
        <v>35</v>
      </c>
      <c r="B40" s="98">
        <f>0</f>
        <v>0</v>
      </c>
    </row>
    <row r="41" spans="1:2" x14ac:dyDescent="0.25">
      <c r="A41" s="96" t="s">
        <v>36</v>
      </c>
      <c r="B41" s="99">
        <f>((((((B32)+(B35))+(B36))+(B37))+(B38))+(B39))+(B40)</f>
        <v>14402039.35</v>
      </c>
    </row>
    <row r="42" spans="1:2" x14ac:dyDescent="0.25">
      <c r="A42" s="96" t="s">
        <v>37</v>
      </c>
      <c r="B42" s="99">
        <f>((B21)+(B26))+(B41)</f>
        <v>14433786.699999999</v>
      </c>
    </row>
    <row r="43" spans="1:2" x14ac:dyDescent="0.25">
      <c r="A43" s="96" t="s">
        <v>38</v>
      </c>
      <c r="B43" s="97"/>
    </row>
    <row r="44" spans="1:2" x14ac:dyDescent="0.25">
      <c r="A44" s="96" t="s">
        <v>39</v>
      </c>
      <c r="B44" s="97"/>
    </row>
    <row r="45" spans="1:2" x14ac:dyDescent="0.25">
      <c r="A45" s="96" t="s">
        <v>40</v>
      </c>
      <c r="B45" s="97"/>
    </row>
    <row r="46" spans="1:2" x14ac:dyDescent="0.25">
      <c r="A46" s="96" t="s">
        <v>41</v>
      </c>
      <c r="B46" s="97"/>
    </row>
    <row r="47" spans="1:2" x14ac:dyDescent="0.25">
      <c r="A47" s="96" t="s">
        <v>42</v>
      </c>
      <c r="B47" s="98">
        <f>3403</f>
        <v>3403</v>
      </c>
    </row>
    <row r="48" spans="1:2" x14ac:dyDescent="0.25">
      <c r="A48" s="96" t="s">
        <v>43</v>
      </c>
      <c r="B48" s="99">
        <f>B47</f>
        <v>3403</v>
      </c>
    </row>
    <row r="49" spans="1:2" x14ac:dyDescent="0.25">
      <c r="A49" s="96" t="s">
        <v>44</v>
      </c>
      <c r="B49" s="97"/>
    </row>
    <row r="50" spans="1:2" x14ac:dyDescent="0.25">
      <c r="A50" s="96" t="s">
        <v>45</v>
      </c>
      <c r="B50" s="98">
        <f>0</f>
        <v>0</v>
      </c>
    </row>
    <row r="51" spans="1:2" x14ac:dyDescent="0.25">
      <c r="A51" s="96" t="s">
        <v>46</v>
      </c>
      <c r="B51" s="98">
        <f>22678.39</f>
        <v>22678.39</v>
      </c>
    </row>
    <row r="52" spans="1:2" x14ac:dyDescent="0.25">
      <c r="A52" s="96" t="s">
        <v>47</v>
      </c>
      <c r="B52" s="98">
        <f>2816546.51</f>
        <v>2816546.51</v>
      </c>
    </row>
    <row r="53" spans="1:2" x14ac:dyDescent="0.25">
      <c r="A53" s="96" t="s">
        <v>48</v>
      </c>
      <c r="B53" s="99">
        <f>((B50)+(B51))+(B52)</f>
        <v>2839224.9</v>
      </c>
    </row>
    <row r="54" spans="1:2" x14ac:dyDescent="0.25">
      <c r="A54" s="96" t="s">
        <v>49</v>
      </c>
      <c r="B54" s="99">
        <f>(B48)+(B53)</f>
        <v>2842627.9</v>
      </c>
    </row>
    <row r="55" spans="1:2" x14ac:dyDescent="0.25">
      <c r="A55" s="96" t="s">
        <v>50</v>
      </c>
      <c r="B55" s="99">
        <f>B54</f>
        <v>2842627.9</v>
      </c>
    </row>
    <row r="56" spans="1:2" x14ac:dyDescent="0.25">
      <c r="A56" s="96" t="s">
        <v>51</v>
      </c>
      <c r="B56" s="97"/>
    </row>
    <row r="57" spans="1:2" x14ac:dyDescent="0.25">
      <c r="A57" s="96" t="s">
        <v>52</v>
      </c>
      <c r="B57" s="98">
        <f>3957837.96</f>
        <v>3957837.96</v>
      </c>
    </row>
    <row r="58" spans="1:2" x14ac:dyDescent="0.25">
      <c r="A58" s="96" t="s">
        <v>53</v>
      </c>
      <c r="B58" s="98">
        <f>4037882.57</f>
        <v>4037882.57</v>
      </c>
    </row>
    <row r="59" spans="1:2" x14ac:dyDescent="0.25">
      <c r="A59" s="96" t="s">
        <v>54</v>
      </c>
      <c r="B59" s="98">
        <f>822279.07</f>
        <v>822279.07</v>
      </c>
    </row>
    <row r="60" spans="1:2" x14ac:dyDescent="0.25">
      <c r="A60" s="96" t="s">
        <v>55</v>
      </c>
      <c r="B60" s="98">
        <f>4129912.54</f>
        <v>4129912.54</v>
      </c>
    </row>
    <row r="61" spans="1:2" x14ac:dyDescent="0.25">
      <c r="A61" s="96" t="s">
        <v>56</v>
      </c>
      <c r="B61" s="98">
        <f>-1356753.34</f>
        <v>-1356753.34</v>
      </c>
    </row>
    <row r="62" spans="1:2" x14ac:dyDescent="0.25">
      <c r="A62" s="96" t="s">
        <v>57</v>
      </c>
      <c r="B62" s="99">
        <f>((((B57)+(B58))+(B59))+(B60))+(B61)</f>
        <v>11591158.800000001</v>
      </c>
    </row>
    <row r="63" spans="1:2" x14ac:dyDescent="0.25">
      <c r="A63" s="96" t="s">
        <v>58</v>
      </c>
      <c r="B63" s="99">
        <f>(B55)+(B62)</f>
        <v>14433786.700000001</v>
      </c>
    </row>
    <row r="64" spans="1:2" x14ac:dyDescent="0.25">
      <c r="A64" s="96"/>
      <c r="B64" s="97"/>
    </row>
    <row r="65" spans="1:2" x14ac:dyDescent="0.25">
      <c r="A65" s="173" t="s">
        <v>61</v>
      </c>
      <c r="B65" s="173"/>
    </row>
    <row r="66" spans="1:2" x14ac:dyDescent="0.25">
      <c r="A66" s="145"/>
      <c r="B66" s="145"/>
    </row>
    <row r="67" spans="1:2" x14ac:dyDescent="0.25">
      <c r="A67" s="169" t="s">
        <v>266</v>
      </c>
      <c r="B67" s="170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BE101"/>
  <sheetViews>
    <sheetView tabSelected="1" topLeftCell="A4" zoomScale="130" zoomScaleNormal="130" workbookViewId="0">
      <pane xSplit="1" ySplit="3" topLeftCell="X7" activePane="bottomRight" state="frozen"/>
      <selection activeCell="A4" sqref="A4"/>
      <selection pane="topRight" activeCell="B4" sqref="B4"/>
      <selection pane="bottomLeft" activeCell="A7" sqref="A7"/>
      <selection pane="bottomRight" activeCell="Y7" sqref="Y7"/>
    </sheetView>
  </sheetViews>
  <sheetFormatPr defaultRowHeight="15" x14ac:dyDescent="0.25"/>
  <cols>
    <col min="1" max="1" width="40.42578125" customWidth="1"/>
    <col min="2" max="5" width="16.28515625" customWidth="1"/>
    <col min="6" max="6" width="9.140625" customWidth="1"/>
    <col min="7" max="7" width="9.140625" hidden="1" customWidth="1"/>
    <col min="8" max="9" width="13.42578125" hidden="1" customWidth="1"/>
    <col min="10" max="10" width="11.28515625" hidden="1" customWidth="1"/>
    <col min="11" max="11" width="12.28515625" hidden="1" customWidth="1"/>
    <col min="12" max="12" width="9.140625" hidden="1" customWidth="1"/>
    <col min="13" max="13" width="13.140625" hidden="1" customWidth="1"/>
    <col min="14" max="14" width="11" hidden="1" customWidth="1"/>
    <col min="15" max="16" width="11" style="114" hidden="1" customWidth="1"/>
    <col min="17" max="17" width="12.140625" style="114" hidden="1" customWidth="1"/>
    <col min="18" max="18" width="11.7109375" style="114" hidden="1" customWidth="1"/>
    <col min="19" max="19" width="11.7109375" style="130" customWidth="1"/>
    <col min="20" max="20" width="13.7109375" customWidth="1"/>
    <col min="21" max="21" width="11.7109375" style="130" customWidth="1"/>
    <col min="22" max="22" width="9.5703125" style="114" bestFit="1" customWidth="1"/>
    <col min="23" max="23" width="13.42578125" style="130" bestFit="1" customWidth="1"/>
    <col min="24" max="24" width="10.42578125" style="138" customWidth="1"/>
    <col min="25" max="25" width="13.7109375" style="93" bestFit="1" customWidth="1"/>
    <col min="26" max="32" width="13.7109375" style="93" customWidth="1"/>
    <col min="33" max="34" width="9.140625" style="114"/>
    <col min="35" max="35" width="12.85546875" customWidth="1"/>
    <col min="36" max="36" width="18" hidden="1" customWidth="1"/>
    <col min="37" max="37" width="13.85546875" hidden="1" customWidth="1"/>
    <col min="38" max="38" width="0" hidden="1" customWidth="1"/>
    <col min="39" max="39" width="20.140625" customWidth="1"/>
    <col min="40" max="40" width="13.42578125" customWidth="1"/>
    <col min="41" max="41" width="12.140625" bestFit="1" customWidth="1"/>
    <col min="43" max="43" width="14.7109375" bestFit="1" customWidth="1"/>
    <col min="44" max="44" width="11" bestFit="1" customWidth="1"/>
    <col min="45" max="45" width="10.140625" bestFit="1" customWidth="1"/>
    <col min="46" max="47" width="11" bestFit="1" customWidth="1"/>
    <col min="49" max="49" width="12.140625" bestFit="1" customWidth="1"/>
  </cols>
  <sheetData>
    <row r="1" spans="1:57" ht="18" x14ac:dyDescent="0.25">
      <c r="A1" s="171" t="s">
        <v>59</v>
      </c>
      <c r="B1" s="170"/>
      <c r="C1" s="170"/>
      <c r="D1" s="170"/>
      <c r="E1" s="170"/>
    </row>
    <row r="2" spans="1:57" ht="18" x14ac:dyDescent="0.25">
      <c r="A2" s="171" t="s">
        <v>129</v>
      </c>
      <c r="B2" s="170"/>
      <c r="C2" s="170"/>
      <c r="D2" s="170"/>
      <c r="E2" s="170"/>
    </row>
    <row r="3" spans="1:57" x14ac:dyDescent="0.25">
      <c r="A3" s="179" t="s">
        <v>262</v>
      </c>
      <c r="B3" s="170"/>
      <c r="C3" s="170"/>
      <c r="D3" s="170"/>
      <c r="E3" s="170"/>
    </row>
    <row r="5" spans="1:57" ht="15.75" thickBot="1" x14ac:dyDescent="0.3">
      <c r="A5" s="1"/>
      <c r="B5" s="177" t="s">
        <v>0</v>
      </c>
      <c r="C5" s="178"/>
      <c r="D5" s="178"/>
      <c r="E5" s="178"/>
      <c r="M5" s="131" t="s">
        <v>209</v>
      </c>
      <c r="T5" s="174">
        <v>2022</v>
      </c>
      <c r="U5" s="175"/>
      <c r="V5" s="175"/>
      <c r="W5" s="175"/>
      <c r="X5" s="139"/>
      <c r="Y5" s="174">
        <v>2023</v>
      </c>
      <c r="Z5" s="175"/>
      <c r="AA5" s="176"/>
      <c r="AB5" s="130"/>
      <c r="AC5" s="130"/>
      <c r="AD5" s="130"/>
      <c r="AE5" s="130"/>
      <c r="AF5" s="130"/>
      <c r="AS5" t="s">
        <v>222</v>
      </c>
      <c r="AU5" t="s">
        <v>223</v>
      </c>
    </row>
    <row r="6" spans="1:57" ht="57" customHeight="1" x14ac:dyDescent="0.25">
      <c r="A6" s="1"/>
      <c r="B6" s="9" t="s">
        <v>128</v>
      </c>
      <c r="C6" s="9" t="s">
        <v>127</v>
      </c>
      <c r="D6" s="9" t="s">
        <v>126</v>
      </c>
      <c r="E6" s="9" t="s">
        <v>125</v>
      </c>
      <c r="H6" s="86" t="s">
        <v>128</v>
      </c>
      <c r="I6" s="86" t="s">
        <v>127</v>
      </c>
      <c r="J6" s="86" t="s">
        <v>126</v>
      </c>
      <c r="M6" s="102" t="s">
        <v>255</v>
      </c>
      <c r="N6" s="102" t="s">
        <v>252</v>
      </c>
      <c r="O6" s="102" t="s">
        <v>254</v>
      </c>
      <c r="P6" s="102" t="s">
        <v>0</v>
      </c>
      <c r="Q6" s="102" t="s">
        <v>253</v>
      </c>
      <c r="T6" s="102" t="s">
        <v>273</v>
      </c>
      <c r="U6" s="102" t="s">
        <v>279</v>
      </c>
      <c r="V6" s="102" t="s">
        <v>259</v>
      </c>
      <c r="W6" s="102" t="s">
        <v>256</v>
      </c>
      <c r="X6" s="140" t="s">
        <v>260</v>
      </c>
      <c r="Y6" s="136" t="s">
        <v>255</v>
      </c>
      <c r="Z6" s="136" t="s">
        <v>257</v>
      </c>
      <c r="AA6" s="136" t="s">
        <v>258</v>
      </c>
      <c r="AB6" s="136"/>
      <c r="AC6" s="136"/>
      <c r="AD6" s="136"/>
      <c r="AE6" s="136"/>
      <c r="AF6" s="136"/>
      <c r="AJ6" t="s">
        <v>210</v>
      </c>
      <c r="AM6" s="109" t="s">
        <v>213</v>
      </c>
      <c r="AO6" t="s">
        <v>249</v>
      </c>
      <c r="AR6" t="s">
        <v>218</v>
      </c>
      <c r="AS6" t="s">
        <v>219</v>
      </c>
      <c r="AT6" t="s">
        <v>220</v>
      </c>
      <c r="AU6">
        <v>48</v>
      </c>
      <c r="AV6" t="s">
        <v>222</v>
      </c>
      <c r="AW6" t="s">
        <v>248</v>
      </c>
    </row>
    <row r="7" spans="1:57" x14ac:dyDescent="0.25">
      <c r="A7" s="4" t="s">
        <v>124</v>
      </c>
      <c r="B7" s="3"/>
      <c r="C7" s="3"/>
      <c r="D7" s="3"/>
      <c r="E7" s="3"/>
      <c r="N7" s="91"/>
      <c r="O7" s="91"/>
      <c r="P7" s="91"/>
      <c r="Q7" s="91"/>
      <c r="R7" s="91"/>
      <c r="S7" s="91"/>
      <c r="U7" s="91"/>
      <c r="V7" s="91"/>
      <c r="W7" s="91"/>
      <c r="X7" s="141"/>
      <c r="AJ7" s="91">
        <v>15400000</v>
      </c>
      <c r="AK7" t="s">
        <v>211</v>
      </c>
      <c r="AN7" s="91">
        <v>40000</v>
      </c>
      <c r="AO7" s="91">
        <v>120000</v>
      </c>
      <c r="AQ7" t="s">
        <v>216</v>
      </c>
      <c r="AR7" s="91">
        <f>41.5*1.03</f>
        <v>42.745000000000005</v>
      </c>
      <c r="AS7" s="91">
        <v>15</v>
      </c>
      <c r="AT7" s="91">
        <f>+AR7*AS7</f>
        <v>641.17500000000007</v>
      </c>
      <c r="AU7" s="91">
        <f>+AT7*$AU$6</f>
        <v>30776.400000000001</v>
      </c>
      <c r="AV7">
        <v>25</v>
      </c>
      <c r="AW7" s="91">
        <f>+AR7*AV7*AU6</f>
        <v>51294</v>
      </c>
      <c r="AX7">
        <v>5</v>
      </c>
      <c r="AY7" s="105">
        <f>+AX7*AR7</f>
        <v>213.72500000000002</v>
      </c>
      <c r="AZ7">
        <f>+AY7*AU6</f>
        <v>10258.800000000001</v>
      </c>
    </row>
    <row r="8" spans="1:57" ht="15.75" thickBot="1" x14ac:dyDescent="0.3">
      <c r="A8" s="4" t="s">
        <v>123</v>
      </c>
      <c r="B8" s="3"/>
      <c r="C8" s="3"/>
      <c r="D8" s="8">
        <f t="shared" ref="D8:D12" si="0">(B8)-(C8)</f>
        <v>0</v>
      </c>
      <c r="E8" s="7" t="str">
        <f t="shared" ref="E8:E12" si="1">IF(C8=0,"",(B8)/(C8))</f>
        <v/>
      </c>
      <c r="N8" s="91"/>
      <c r="O8" s="91"/>
      <c r="P8" s="91"/>
      <c r="Q8" s="91"/>
      <c r="R8" s="91"/>
      <c r="S8" s="91"/>
      <c r="U8" s="91"/>
      <c r="V8" s="91"/>
      <c r="W8" s="91"/>
      <c r="X8" s="141"/>
      <c r="AJ8" s="91">
        <v>15000000</v>
      </c>
      <c r="AK8" s="91">
        <f>+AJ8*0.01</f>
        <v>150000</v>
      </c>
      <c r="AM8" t="s">
        <v>214</v>
      </c>
      <c r="AN8" s="91">
        <f>+AU12</f>
        <v>74240.399999999994</v>
      </c>
      <c r="AQ8" t="s">
        <v>217</v>
      </c>
      <c r="AR8" s="91">
        <v>25</v>
      </c>
      <c r="AS8" s="91">
        <v>15</v>
      </c>
      <c r="AT8" s="91">
        <f>+AR8*AS8</f>
        <v>375</v>
      </c>
      <c r="AU8" s="91">
        <f>+AT8*$AU$6</f>
        <v>18000</v>
      </c>
      <c r="AV8">
        <v>22</v>
      </c>
      <c r="AW8" s="91">
        <f>+AV8*AR8*AU6</f>
        <v>26400</v>
      </c>
      <c r="AX8">
        <v>7</v>
      </c>
      <c r="AY8" s="105">
        <f>+AX8*AR8</f>
        <v>175</v>
      </c>
      <c r="AZ8">
        <f>+AY8*AU6</f>
        <v>8400</v>
      </c>
      <c r="BC8">
        <v>2022</v>
      </c>
      <c r="BD8">
        <v>2023</v>
      </c>
    </row>
    <row r="9" spans="1:57" x14ac:dyDescent="0.25">
      <c r="A9" s="4" t="s">
        <v>122</v>
      </c>
      <c r="B9" s="8">
        <f>31136.09</f>
        <v>31136.09</v>
      </c>
      <c r="C9" s="8">
        <f>33000</f>
        <v>33000</v>
      </c>
      <c r="D9" s="8">
        <f t="shared" si="0"/>
        <v>-1863.9099999999999</v>
      </c>
      <c r="E9" s="7">
        <f t="shared" si="1"/>
        <v>0.94351787878787874</v>
      </c>
      <c r="M9" s="115">
        <v>32000</v>
      </c>
      <c r="N9" s="119"/>
      <c r="O9" s="120"/>
      <c r="P9" s="121"/>
      <c r="Q9" s="115">
        <f>+M9+P9</f>
        <v>32000</v>
      </c>
      <c r="R9" s="91"/>
      <c r="S9" s="91"/>
      <c r="T9" s="135">
        <f>+B9</f>
        <v>31136.09</v>
      </c>
      <c r="U9" s="135">
        <f>333.333333333333+1250+360</f>
        <v>1943.333333333333</v>
      </c>
      <c r="V9" s="135">
        <f>+T9+U9</f>
        <v>33079.423333333332</v>
      </c>
      <c r="W9" s="135">
        <v>35000</v>
      </c>
      <c r="X9" s="142">
        <f>+W9-V9</f>
        <v>1920.5766666666677</v>
      </c>
      <c r="Y9" s="132">
        <f>+M9+O9</f>
        <v>32000</v>
      </c>
      <c r="Z9" s="132">
        <f>+N9+P9</f>
        <v>0</v>
      </c>
      <c r="AA9" s="132">
        <f>+Y9+Z9</f>
        <v>32000</v>
      </c>
      <c r="AB9" s="132"/>
      <c r="AC9" s="132"/>
      <c r="AD9" s="132"/>
      <c r="AE9" s="132"/>
      <c r="AF9" s="132"/>
      <c r="AJ9" s="104" t="s">
        <v>212</v>
      </c>
      <c r="AK9" s="91">
        <v>155000</v>
      </c>
      <c r="AM9" t="s">
        <v>234</v>
      </c>
      <c r="AN9" s="91">
        <f>+AN8*0.1</f>
        <v>7424.04</v>
      </c>
      <c r="AQ9" t="s">
        <v>221</v>
      </c>
      <c r="AR9" s="91">
        <v>53.05</v>
      </c>
      <c r="AS9" s="91">
        <v>10</v>
      </c>
      <c r="AT9" s="91">
        <f>+AR9*AS9</f>
        <v>530.5</v>
      </c>
      <c r="AU9" s="91">
        <f>+AT9*$AU$6</f>
        <v>25464</v>
      </c>
      <c r="AV9">
        <v>25</v>
      </c>
      <c r="AW9" s="91">
        <f>+AV9*AR9*AU6</f>
        <v>63660</v>
      </c>
      <c r="BB9" t="s">
        <v>250</v>
      </c>
      <c r="BC9">
        <v>117</v>
      </c>
      <c r="BD9">
        <v>141</v>
      </c>
      <c r="BE9">
        <f>+BD9-BC9</f>
        <v>24</v>
      </c>
    </row>
    <row r="10" spans="1:57" s="145" customFormat="1" x14ac:dyDescent="0.25">
      <c r="A10" s="4" t="s">
        <v>274</v>
      </c>
      <c r="B10" s="8"/>
      <c r="C10" s="8"/>
      <c r="D10" s="8"/>
      <c r="E10" s="7"/>
      <c r="M10" s="115"/>
      <c r="N10" s="122"/>
      <c r="O10" s="123"/>
      <c r="P10" s="124"/>
      <c r="Q10" s="115"/>
      <c r="R10" s="91"/>
      <c r="S10" s="91"/>
      <c r="T10" s="135"/>
      <c r="U10" s="135"/>
      <c r="V10" s="135"/>
      <c r="W10" s="135"/>
      <c r="X10" s="142">
        <f t="shared" ref="X10:X12" si="2">+W10-V10</f>
        <v>0</v>
      </c>
      <c r="Y10" s="132"/>
      <c r="Z10" s="132">
        <v>40000</v>
      </c>
      <c r="AA10" s="132">
        <f>+Y10+Z10</f>
        <v>40000</v>
      </c>
      <c r="AB10" s="132"/>
      <c r="AC10" s="132"/>
      <c r="AD10" s="132"/>
      <c r="AE10" s="132"/>
      <c r="AF10" s="132"/>
      <c r="AJ10" s="104"/>
      <c r="AK10" s="91"/>
      <c r="AN10" s="91"/>
      <c r="AR10" s="91"/>
      <c r="AS10" s="91"/>
      <c r="AT10" s="91"/>
      <c r="AU10" s="91"/>
      <c r="AW10" s="91"/>
    </row>
    <row r="11" spans="1:57" s="145" customFormat="1" x14ac:dyDescent="0.25">
      <c r="A11" s="4" t="s">
        <v>275</v>
      </c>
      <c r="B11" s="8"/>
      <c r="C11" s="8"/>
      <c r="D11" s="8">
        <f t="shared" si="0"/>
        <v>0</v>
      </c>
      <c r="E11" s="7"/>
      <c r="M11" s="115"/>
      <c r="N11" s="122"/>
      <c r="O11" s="123"/>
      <c r="P11" s="124"/>
      <c r="Q11" s="115"/>
      <c r="R11" s="91"/>
      <c r="S11" s="91"/>
      <c r="T11" s="156">
        <v>31531</v>
      </c>
      <c r="U11" s="156">
        <f>13121+5000</f>
        <v>18121</v>
      </c>
      <c r="V11" s="156">
        <f t="shared" ref="V11" si="3">+T11+U11</f>
        <v>49652</v>
      </c>
      <c r="W11" s="156">
        <v>48211</v>
      </c>
      <c r="X11" s="157">
        <f t="shared" si="2"/>
        <v>-1441</v>
      </c>
      <c r="Y11" s="158">
        <v>46415</v>
      </c>
      <c r="Z11" s="158">
        <v>4400</v>
      </c>
      <c r="AA11" s="158">
        <f t="shared" ref="AA11" si="4">+Y11+Z11</f>
        <v>50815</v>
      </c>
      <c r="AB11" s="132"/>
      <c r="AC11" s="132"/>
      <c r="AD11" s="132"/>
      <c r="AE11" s="132"/>
      <c r="AF11" s="132"/>
      <c r="AJ11" s="104"/>
      <c r="AK11" s="91"/>
      <c r="AN11" s="91"/>
      <c r="AR11" s="91"/>
      <c r="AS11" s="91"/>
      <c r="AT11" s="91"/>
      <c r="AU11" s="91"/>
      <c r="AW11" s="91"/>
    </row>
    <row r="12" spans="1:57" ht="15.75" thickBot="1" x14ac:dyDescent="0.3">
      <c r="A12" s="4" t="s">
        <v>121</v>
      </c>
      <c r="B12" s="8">
        <f>250</f>
        <v>250</v>
      </c>
      <c r="C12" s="3"/>
      <c r="D12" s="8">
        <f t="shared" si="0"/>
        <v>250</v>
      </c>
      <c r="E12" s="7" t="str">
        <f t="shared" si="1"/>
        <v/>
      </c>
      <c r="F12" s="101"/>
      <c r="G12" s="101"/>
      <c r="H12" s="101"/>
      <c r="I12" s="101"/>
      <c r="J12" s="101"/>
      <c r="K12" s="101"/>
      <c r="L12" s="101"/>
      <c r="M12" s="115"/>
      <c r="N12" s="122">
        <v>40000</v>
      </c>
      <c r="O12" s="123">
        <v>0</v>
      </c>
      <c r="P12" s="124">
        <f>+N12+O12</f>
        <v>40000</v>
      </c>
      <c r="Q12" s="115">
        <f t="shared" ref="Q12:Q14" si="5">+M12+P12</f>
        <v>40000</v>
      </c>
      <c r="R12" s="91"/>
      <c r="S12" s="91"/>
      <c r="T12" s="134">
        <f>+B12</f>
        <v>250</v>
      </c>
      <c r="U12" s="153"/>
      <c r="V12" s="135">
        <f t="shared" ref="V12:V13" si="6">+T12+U12</f>
        <v>250</v>
      </c>
      <c r="W12" s="135"/>
      <c r="X12" s="142">
        <f t="shared" si="2"/>
        <v>-250</v>
      </c>
      <c r="Y12" s="132">
        <f>+M12+O12</f>
        <v>0</v>
      </c>
      <c r="Z12" s="132"/>
      <c r="AA12" s="132">
        <f t="shared" ref="AA12:AA13" si="7">+Y12+Z12</f>
        <v>0</v>
      </c>
      <c r="AB12" s="132"/>
      <c r="AC12" s="132"/>
      <c r="AD12" s="132"/>
      <c r="AE12" s="132"/>
      <c r="AF12" s="132"/>
      <c r="AI12" s="101"/>
      <c r="AM12" t="s">
        <v>251</v>
      </c>
      <c r="AN12" s="91">
        <f>5000-2000</f>
        <v>3000</v>
      </c>
      <c r="AR12">
        <f>+AR9*0.03</f>
        <v>1.5914999999999999</v>
      </c>
      <c r="AS12" s="91"/>
      <c r="AT12" s="91"/>
      <c r="AU12" s="91">
        <f>SUM(AU7:AU9)</f>
        <v>74240.399999999994</v>
      </c>
      <c r="AW12" s="91">
        <f>SUM(AW7:AW9)</f>
        <v>141354</v>
      </c>
      <c r="AZ12">
        <f>+AZ7+AZ8</f>
        <v>18658.800000000003</v>
      </c>
      <c r="BC12" s="113"/>
      <c r="BD12" s="113">
        <v>-75</v>
      </c>
    </row>
    <row r="13" spans="1:57" s="114" customFormat="1" ht="15.75" thickBot="1" x14ac:dyDescent="0.3">
      <c r="A13" s="4" t="s">
        <v>120</v>
      </c>
      <c r="B13" s="8">
        <f>150515.18</f>
        <v>150515.18</v>
      </c>
      <c r="C13" s="8">
        <f>150000</f>
        <v>150000</v>
      </c>
      <c r="D13" s="8">
        <f>(B13)-(C13)</f>
        <v>515.17999999999302</v>
      </c>
      <c r="E13" s="7">
        <f t="shared" ref="E13:E18" si="8">IF(C13=0,"",(B13)/(C13))</f>
        <v>1.0034345333333332</v>
      </c>
      <c r="M13" s="118">
        <v>45927</v>
      </c>
      <c r="N13" s="122">
        <v>4400</v>
      </c>
      <c r="O13" s="123"/>
      <c r="P13" s="124">
        <f>+N13+O13</f>
        <v>4400</v>
      </c>
      <c r="Q13" s="116">
        <f>49826.6+500</f>
        <v>50326.6</v>
      </c>
      <c r="R13" s="91">
        <v>-49826.599999999977</v>
      </c>
      <c r="S13" s="91"/>
      <c r="T13" s="135">
        <v>150515</v>
      </c>
      <c r="U13" s="135">
        <v>0</v>
      </c>
      <c r="V13" s="135">
        <f t="shared" si="6"/>
        <v>150515</v>
      </c>
      <c r="W13" s="135">
        <v>150000</v>
      </c>
      <c r="X13" s="142">
        <f>+W13-V13</f>
        <v>-515</v>
      </c>
      <c r="Y13" s="132">
        <v>155000</v>
      </c>
      <c r="Z13" s="132"/>
      <c r="AA13" s="132">
        <f t="shared" si="7"/>
        <v>155000</v>
      </c>
      <c r="AB13" s="164"/>
      <c r="AC13" s="132"/>
      <c r="AD13" s="132"/>
      <c r="AE13" s="132"/>
      <c r="AF13" s="132"/>
      <c r="AN13" s="91"/>
      <c r="AS13" s="91"/>
      <c r="AT13" s="91"/>
      <c r="AU13" s="91"/>
      <c r="AW13" s="91"/>
      <c r="BC13" s="111"/>
      <c r="BD13" s="111"/>
    </row>
    <row r="14" spans="1:57" x14ac:dyDescent="0.25">
      <c r="A14" s="4" t="s">
        <v>119</v>
      </c>
      <c r="B14" s="6">
        <f>(B12)+(B13)</f>
        <v>150765.18</v>
      </c>
      <c r="C14" s="6">
        <f>(C12)+(C13)</f>
        <v>150000</v>
      </c>
      <c r="D14" s="6">
        <f>(D12)+(D13)</f>
        <v>765.17999999999302</v>
      </c>
      <c r="E14" s="5">
        <f t="shared" si="8"/>
        <v>1.0051011999999999</v>
      </c>
      <c r="M14" s="115">
        <v>155000</v>
      </c>
      <c r="N14" s="122"/>
      <c r="O14" s="123"/>
      <c r="P14" s="124"/>
      <c r="Q14" s="115">
        <f t="shared" si="5"/>
        <v>155000</v>
      </c>
      <c r="R14" s="91"/>
      <c r="S14" s="91"/>
      <c r="T14" s="133">
        <f t="shared" ref="T14:AA14" si="9">(T12)+(T13)</f>
        <v>150765</v>
      </c>
      <c r="U14" s="133">
        <f t="shared" si="9"/>
        <v>0</v>
      </c>
      <c r="V14" s="133">
        <f t="shared" si="9"/>
        <v>150765</v>
      </c>
      <c r="W14" s="133">
        <f t="shared" si="9"/>
        <v>150000</v>
      </c>
      <c r="X14" s="152">
        <f t="shared" si="9"/>
        <v>-765</v>
      </c>
      <c r="Y14" s="149">
        <f t="shared" si="9"/>
        <v>155000</v>
      </c>
      <c r="Z14" s="149">
        <f t="shared" si="9"/>
        <v>0</v>
      </c>
      <c r="AA14" s="149">
        <f t="shared" si="9"/>
        <v>155000</v>
      </c>
      <c r="AB14" s="132"/>
      <c r="AC14" s="132"/>
      <c r="AD14" s="132"/>
      <c r="AE14" s="132"/>
      <c r="AF14" s="132"/>
      <c r="AM14" t="s">
        <v>224</v>
      </c>
      <c r="AN14" s="91">
        <f>+AS14-1500</f>
        <v>3500</v>
      </c>
      <c r="AQ14" t="s">
        <v>225</v>
      </c>
      <c r="AR14" s="91">
        <v>100</v>
      </c>
      <c r="AS14" s="91">
        <v>5000</v>
      </c>
      <c r="AW14" s="105" t="e">
        <f>+#REF!-AW12</f>
        <v>#REF!</v>
      </c>
      <c r="AZ14" t="e">
        <f>+AZ12+#REF!</f>
        <v>#REF!</v>
      </c>
      <c r="BE14">
        <v>96</v>
      </c>
    </row>
    <row r="15" spans="1:57" x14ac:dyDescent="0.25">
      <c r="B15" s="6">
        <f>((B8)+(B9))+(B14)+B11</f>
        <v>181901.27</v>
      </c>
      <c r="C15" s="6">
        <f>((C8)+(C9))+(C14)+C11</f>
        <v>183000</v>
      </c>
      <c r="D15" s="6">
        <f>((D8)+(D9))+(D14)+D11</f>
        <v>-1098.7300000000068</v>
      </c>
      <c r="E15" s="5">
        <f t="shared" si="8"/>
        <v>0.99399601092896173</v>
      </c>
      <c r="M15" s="6" t="e">
        <f>(#REF!)+(M14)</f>
        <v>#REF!</v>
      </c>
      <c r="N15" s="125" t="e">
        <f>(#REF!)+(N14)</f>
        <v>#REF!</v>
      </c>
      <c r="O15" s="6" t="e">
        <f>(#REF!)+(O14)</f>
        <v>#REF!</v>
      </c>
      <c r="P15" s="126" t="e">
        <f>(#REF!)+(P14)</f>
        <v>#REF!</v>
      </c>
      <c r="Q15" s="6" t="e">
        <f>(#REF!)+(Q14)</f>
        <v>#REF!</v>
      </c>
      <c r="R15" s="91"/>
      <c r="S15" s="91"/>
      <c r="T15" s="150">
        <f>((T8)+(T9))+(T14)+T11</f>
        <v>213432.09</v>
      </c>
      <c r="U15" s="150">
        <f>((U8)+(U9))+(U14)+U11</f>
        <v>20064.333333333332</v>
      </c>
      <c r="V15" s="150">
        <f>((V8)+(V9))+(V14)+V11</f>
        <v>233496.42333333334</v>
      </c>
      <c r="W15" s="150">
        <f>((W8)+(W9))+(W14)+W11</f>
        <v>233211</v>
      </c>
      <c r="X15" s="151">
        <f>((X8)+(X9))+(X14)+X11</f>
        <v>-285.42333333333227</v>
      </c>
      <c r="Y15" s="133">
        <f>+Y9+Y11+Y14+Y10</f>
        <v>233415</v>
      </c>
      <c r="Z15" s="133">
        <f>+Z9+Z11+Z14+Z10</f>
        <v>44400</v>
      </c>
      <c r="AA15" s="133">
        <f>+AA9+AA11+AA14+AA10</f>
        <v>277815</v>
      </c>
      <c r="AB15" s="137"/>
      <c r="AC15" s="137"/>
      <c r="AD15" s="137"/>
      <c r="AE15" s="137"/>
      <c r="AF15" s="137"/>
      <c r="AM15" t="s">
        <v>228</v>
      </c>
      <c r="AN15" s="91">
        <f>+(10*1800)</f>
        <v>18000</v>
      </c>
      <c r="BE15">
        <f>+BE9+BE14</f>
        <v>120</v>
      </c>
    </row>
    <row r="16" spans="1:57" x14ac:dyDescent="0.25">
      <c r="A16" s="4" t="s">
        <v>118</v>
      </c>
      <c r="B16" s="8">
        <f>43.11</f>
        <v>43.11</v>
      </c>
      <c r="C16" s="3"/>
      <c r="D16" s="8">
        <f>(B16)-(C16)</f>
        <v>43.11</v>
      </c>
      <c r="E16" s="7" t="str">
        <f t="shared" si="8"/>
        <v/>
      </c>
      <c r="M16" s="6" t="e">
        <f>((M8)+(M9))+(M15)+M12+M13</f>
        <v>#REF!</v>
      </c>
      <c r="N16" s="125" t="e">
        <f>((N8)+(N9))+(N15)+N12+N13</f>
        <v>#REF!</v>
      </c>
      <c r="O16" s="6" t="e">
        <f>((O8)+(O9))+(O15)+O12+O13</f>
        <v>#REF!</v>
      </c>
      <c r="P16" s="126" t="e">
        <f>((P8)+(P9))+(P15)+P12+P13</f>
        <v>#REF!</v>
      </c>
      <c r="Q16" s="6" t="e">
        <f>((Q8)+(Q9))+(Q15)+Q12+Q13</f>
        <v>#REF!</v>
      </c>
      <c r="R16" s="91"/>
      <c r="S16" s="91"/>
      <c r="T16" s="135">
        <f>43.11</f>
        <v>43.11</v>
      </c>
      <c r="U16" s="134"/>
      <c r="V16" s="135">
        <f>(T16)-(U16)</f>
        <v>43.11</v>
      </c>
      <c r="W16" s="150"/>
      <c r="X16" s="154">
        <f t="shared" ref="X16" si="10">+W16-V16</f>
        <v>-43.11</v>
      </c>
      <c r="Y16" s="150"/>
      <c r="Z16" s="150"/>
      <c r="AA16" s="150"/>
      <c r="AB16" s="137"/>
      <c r="AC16" s="137"/>
      <c r="AD16" s="137"/>
      <c r="AE16" s="137"/>
      <c r="AF16" s="137"/>
      <c r="AM16" t="s">
        <v>232</v>
      </c>
      <c r="AN16" s="91">
        <f>+AT19</f>
        <v>1800</v>
      </c>
      <c r="AQ16" t="s">
        <v>227</v>
      </c>
      <c r="AR16" s="91">
        <v>1800</v>
      </c>
      <c r="AS16" s="91">
        <v>10</v>
      </c>
      <c r="AT16" s="91">
        <f>+AR16*AS16</f>
        <v>18000</v>
      </c>
    </row>
    <row r="17" spans="1:46" x14ac:dyDescent="0.25">
      <c r="A17" s="4" t="s">
        <v>117</v>
      </c>
      <c r="B17" s="6">
        <f>(B15)+(B16)</f>
        <v>181944.37999999998</v>
      </c>
      <c r="C17" s="6">
        <f>(C15)+(C16)</f>
        <v>183000</v>
      </c>
      <c r="D17" s="6">
        <f>(B17)-(C17)</f>
        <v>-1055.6200000000244</v>
      </c>
      <c r="E17" s="5">
        <f t="shared" si="8"/>
        <v>0.99423158469945339</v>
      </c>
      <c r="M17" s="3"/>
      <c r="N17" s="122"/>
      <c r="O17" s="123"/>
      <c r="P17" s="124"/>
      <c r="Q17" s="3"/>
      <c r="R17" s="91"/>
      <c r="S17" s="91"/>
      <c r="T17" s="133">
        <f>(T15)+(T16)</f>
        <v>213475.19999999998</v>
      </c>
      <c r="U17" s="133">
        <f t="shared" ref="U17:X17" si="11">(U15)+(U16)</f>
        <v>20064.333333333332</v>
      </c>
      <c r="V17" s="133">
        <f t="shared" si="11"/>
        <v>233539.53333333333</v>
      </c>
      <c r="W17" s="133">
        <f t="shared" si="11"/>
        <v>233211</v>
      </c>
      <c r="X17" s="143">
        <f t="shared" si="11"/>
        <v>-328.53333333333228</v>
      </c>
      <c r="Y17" s="149">
        <f t="shared" ref="Y17" si="12">(Y15)+(Y16)</f>
        <v>233415</v>
      </c>
      <c r="Z17" s="149">
        <f t="shared" ref="Z17" si="13">(Z15)+(Z16)</f>
        <v>44400</v>
      </c>
      <c r="AA17" s="149">
        <f t="shared" ref="AA17" si="14">(AA15)+(AA16)</f>
        <v>277815</v>
      </c>
      <c r="AB17" s="134"/>
      <c r="AC17" s="134"/>
      <c r="AD17" s="134"/>
      <c r="AE17" s="134"/>
      <c r="AF17" s="134"/>
      <c r="AM17" t="s">
        <v>235</v>
      </c>
      <c r="AN17" s="91">
        <v>500</v>
      </c>
      <c r="AR17" t="s">
        <v>226</v>
      </c>
    </row>
    <row r="18" spans="1:46" x14ac:dyDescent="0.25">
      <c r="A18" s="4" t="s">
        <v>116</v>
      </c>
      <c r="B18" s="6">
        <f>(B17)-(0)</f>
        <v>181944.37999999998</v>
      </c>
      <c r="C18" s="6">
        <f>(C17)-(0)</f>
        <v>183000</v>
      </c>
      <c r="D18" s="6">
        <f>(B18)-(C18)</f>
        <v>-1055.6200000000244</v>
      </c>
      <c r="E18" s="5">
        <f t="shared" si="8"/>
        <v>0.99423158469945339</v>
      </c>
      <c r="M18" s="6" t="e">
        <f>(M16)+(M17)</f>
        <v>#REF!</v>
      </c>
      <c r="N18" s="125" t="e">
        <f>(N16)+(N17)</f>
        <v>#REF!</v>
      </c>
      <c r="O18" s="6" t="e">
        <f>(O16)+(O17)</f>
        <v>#REF!</v>
      </c>
      <c r="P18" s="126" t="e">
        <f>(P16)+(P17)</f>
        <v>#REF!</v>
      </c>
      <c r="Q18" s="6" t="e">
        <f>(Q16)+(Q17)</f>
        <v>#REF!</v>
      </c>
      <c r="R18" s="91"/>
      <c r="S18" s="91"/>
      <c r="T18" s="133">
        <f>(T17)-(0)</f>
        <v>213475.19999999998</v>
      </c>
      <c r="U18" s="133">
        <f t="shared" ref="U18:X18" si="15">(U17)-(0)</f>
        <v>20064.333333333332</v>
      </c>
      <c r="V18" s="133">
        <f t="shared" si="15"/>
        <v>233539.53333333333</v>
      </c>
      <c r="W18" s="133">
        <f t="shared" si="15"/>
        <v>233211</v>
      </c>
      <c r="X18" s="143">
        <f t="shared" si="15"/>
        <v>-328.53333333333228</v>
      </c>
      <c r="Y18" s="149">
        <f t="shared" ref="Y18" si="16">(Y17)-(0)</f>
        <v>233415</v>
      </c>
      <c r="Z18" s="149">
        <f t="shared" ref="Z18" si="17">(Z17)-(0)</f>
        <v>44400</v>
      </c>
      <c r="AA18" s="149">
        <f t="shared" ref="AA18" si="18">(AA17)-(0)</f>
        <v>277815</v>
      </c>
      <c r="AB18" s="137"/>
      <c r="AC18" s="137"/>
      <c r="AD18" s="137"/>
      <c r="AE18" s="137"/>
      <c r="AF18" s="137"/>
      <c r="AM18" t="s">
        <v>236</v>
      </c>
      <c r="AN18" s="91">
        <f>+AR36</f>
        <v>6000</v>
      </c>
      <c r="AQ18" t="s">
        <v>229</v>
      </c>
      <c r="AR18">
        <v>2200</v>
      </c>
    </row>
    <row r="19" spans="1:46" x14ac:dyDescent="0.25">
      <c r="A19" s="4" t="s">
        <v>115</v>
      </c>
      <c r="B19" s="3"/>
      <c r="C19" s="3"/>
      <c r="D19" s="3"/>
      <c r="E19" s="3"/>
      <c r="H19" s="81">
        <f>+B20</f>
        <v>2290.87</v>
      </c>
      <c r="I19" s="81">
        <f>+C20</f>
        <v>2291.63</v>
      </c>
      <c r="J19" s="82">
        <f>+H19-I19</f>
        <v>-0.76000000000021828</v>
      </c>
      <c r="M19" s="6" t="e">
        <f>(M18)-(0)</f>
        <v>#REF!</v>
      </c>
      <c r="N19" s="125" t="e">
        <f>(N18)-(0)</f>
        <v>#REF!</v>
      </c>
      <c r="O19" s="6" t="e">
        <f>(O18)-(0)</f>
        <v>#REF!</v>
      </c>
      <c r="P19" s="126" t="e">
        <f>(P18)-(0)</f>
        <v>#REF!</v>
      </c>
      <c r="Q19" s="6" t="e">
        <f>(Q18)-(0)</f>
        <v>#REF!</v>
      </c>
      <c r="R19" s="91"/>
      <c r="S19" s="91"/>
      <c r="T19" s="133"/>
      <c r="U19" s="133"/>
      <c r="V19" s="133"/>
      <c r="W19" s="133"/>
      <c r="X19" s="143"/>
      <c r="Y19" s="133"/>
      <c r="Z19" s="133"/>
      <c r="AA19" s="133"/>
      <c r="AB19" s="137"/>
      <c r="AC19" s="137"/>
      <c r="AD19" s="137"/>
      <c r="AE19" s="137"/>
      <c r="AF19" s="137"/>
      <c r="AM19" t="s">
        <v>237</v>
      </c>
      <c r="AN19" s="91">
        <f>+AU40+AU42+AU44+220</f>
        <v>500.79999999999995</v>
      </c>
      <c r="AQ19" t="s">
        <v>230</v>
      </c>
      <c r="AR19" t="s">
        <v>231</v>
      </c>
      <c r="AS19" t="s">
        <v>233</v>
      </c>
      <c r="AT19" s="91">
        <v>1800</v>
      </c>
    </row>
    <row r="20" spans="1:46" x14ac:dyDescent="0.25">
      <c r="A20" s="4" t="s">
        <v>263</v>
      </c>
      <c r="B20" s="8">
        <f>2290.87</f>
        <v>2290.87</v>
      </c>
      <c r="C20" s="8">
        <f>2291.63</f>
        <v>2291.63</v>
      </c>
      <c r="D20" s="8">
        <f t="shared" ref="D20:D25" si="19">(B20)-(C20)</f>
        <v>-0.76000000000021828</v>
      </c>
      <c r="E20" s="7">
        <f t="shared" ref="E20:E25" si="20">IF(C20=0,"",(B20)/(C20))</f>
        <v>0.99966835833009682</v>
      </c>
      <c r="M20" s="3"/>
      <c r="N20" s="122"/>
      <c r="O20" s="123"/>
      <c r="P20" s="124"/>
      <c r="Q20" s="3"/>
      <c r="R20" s="91"/>
      <c r="S20" s="91"/>
      <c r="T20" s="135">
        <f>+B20</f>
        <v>2290.87</v>
      </c>
      <c r="U20" s="135">
        <f>(750/3)-98+1500</f>
        <v>1652</v>
      </c>
      <c r="V20" s="135">
        <f t="shared" ref="V20" si="21">+T20+U20</f>
        <v>3942.87</v>
      </c>
      <c r="W20" s="135">
        <v>2500</v>
      </c>
      <c r="X20" s="142">
        <f>+W20-V20</f>
        <v>-1442.87</v>
      </c>
      <c r="Y20" s="135"/>
      <c r="Z20" s="135"/>
      <c r="AA20" s="132">
        <f t="shared" ref="AA20:AA22" si="22">+Y20+Z20</f>
        <v>0</v>
      </c>
      <c r="AB20" s="134"/>
      <c r="AC20" s="134"/>
      <c r="AD20" s="134"/>
      <c r="AE20" s="134"/>
      <c r="AF20" s="134"/>
      <c r="AM20" t="s">
        <v>153</v>
      </c>
      <c r="AN20" s="91">
        <v>250</v>
      </c>
    </row>
    <row r="21" spans="1:46" s="145" customFormat="1" x14ac:dyDescent="0.25">
      <c r="A21" s="4" t="s">
        <v>276</v>
      </c>
      <c r="B21" s="8"/>
      <c r="C21" s="8"/>
      <c r="D21" s="8"/>
      <c r="E21" s="7"/>
      <c r="M21" s="3"/>
      <c r="N21" s="122"/>
      <c r="O21" s="123"/>
      <c r="P21" s="124"/>
      <c r="Q21" s="3"/>
      <c r="R21" s="91"/>
      <c r="S21" s="91"/>
      <c r="T21" s="135"/>
      <c r="U21" s="135"/>
      <c r="V21" s="135"/>
      <c r="W21" s="135"/>
      <c r="X21" s="142"/>
      <c r="Y21" s="135">
        <v>3000</v>
      </c>
      <c r="Z21" s="135"/>
      <c r="AA21" s="132">
        <f t="shared" si="22"/>
        <v>3000</v>
      </c>
      <c r="AB21" s="134"/>
      <c r="AC21" s="134"/>
      <c r="AD21" s="134"/>
      <c r="AE21" s="134"/>
      <c r="AF21" s="134"/>
      <c r="AN21" s="91"/>
    </row>
    <row r="22" spans="1:46" s="145" customFormat="1" x14ac:dyDescent="0.25">
      <c r="A22" s="4" t="s">
        <v>277</v>
      </c>
      <c r="B22" s="8"/>
      <c r="C22" s="8"/>
      <c r="D22" s="8"/>
      <c r="E22" s="7"/>
      <c r="M22" s="3"/>
      <c r="N22" s="122"/>
      <c r="O22" s="123"/>
      <c r="P22" s="124"/>
      <c r="Q22" s="3"/>
      <c r="R22" s="91"/>
      <c r="S22" s="91"/>
      <c r="T22" s="135"/>
      <c r="U22" s="135"/>
      <c r="V22" s="135"/>
      <c r="W22" s="135"/>
      <c r="X22" s="142"/>
      <c r="Y22" s="135"/>
      <c r="Z22" s="135">
        <v>18000</v>
      </c>
      <c r="AA22" s="132">
        <f t="shared" si="22"/>
        <v>18000</v>
      </c>
      <c r="AB22" s="134"/>
      <c r="AC22" s="134"/>
      <c r="AD22" s="134"/>
      <c r="AE22" s="134"/>
      <c r="AF22" s="134"/>
      <c r="AN22" s="91"/>
    </row>
    <row r="23" spans="1:46" x14ac:dyDescent="0.25">
      <c r="A23" s="4" t="s">
        <v>114</v>
      </c>
      <c r="B23" s="8">
        <f>305.56</f>
        <v>305.56</v>
      </c>
      <c r="C23" s="8">
        <f>91.63</f>
        <v>91.63</v>
      </c>
      <c r="D23" s="8">
        <f t="shared" si="19"/>
        <v>213.93</v>
      </c>
      <c r="E23" s="7">
        <f t="shared" si="20"/>
        <v>3.334715704463604</v>
      </c>
      <c r="M23" s="8"/>
      <c r="N23" s="122"/>
      <c r="O23" s="123"/>
      <c r="P23" s="124">
        <f t="shared" ref="P23:P42" si="23">+N23+O23</f>
        <v>0</v>
      </c>
      <c r="Q23" s="115">
        <f t="shared" ref="Q23:Q42" si="24">+M23+P23</f>
        <v>0</v>
      </c>
      <c r="R23" s="91"/>
      <c r="S23" s="91"/>
      <c r="T23" s="135">
        <f>+B23</f>
        <v>305.56</v>
      </c>
      <c r="U23" s="135">
        <v>8.3333333333333339</v>
      </c>
      <c r="V23" s="135">
        <f t="shared" ref="V23:V39" si="25">+T23+U23</f>
        <v>313.89333333333332</v>
      </c>
      <c r="W23" s="135">
        <v>100</v>
      </c>
      <c r="X23" s="142">
        <f t="shared" ref="X23:X25" si="26">+W23-V23</f>
        <v>-213.89333333333332</v>
      </c>
      <c r="Y23" s="132">
        <f t="shared" ref="Y23:Z25" si="27">+M26+O26</f>
        <v>50</v>
      </c>
      <c r="Z23" s="132">
        <f t="shared" si="27"/>
        <v>0</v>
      </c>
      <c r="AA23" s="132">
        <f t="shared" ref="AA23:AA39" si="28">+Y23+Z23</f>
        <v>50</v>
      </c>
      <c r="AB23" s="135"/>
      <c r="AC23" s="135"/>
      <c r="AD23" s="135"/>
      <c r="AE23" s="135"/>
      <c r="AF23" s="135"/>
      <c r="AM23" t="s">
        <v>238</v>
      </c>
      <c r="AN23" s="108">
        <f>5000-2000</f>
        <v>3000</v>
      </c>
      <c r="AQ23" t="s">
        <v>238</v>
      </c>
      <c r="AR23" s="91">
        <v>7500</v>
      </c>
    </row>
    <row r="24" spans="1:46" s="130" customFormat="1" x14ac:dyDescent="0.25">
      <c r="A24" s="4" t="s">
        <v>113</v>
      </c>
      <c r="B24" s="8">
        <f>1500</f>
        <v>1500</v>
      </c>
      <c r="C24" s="8">
        <f>1100</f>
        <v>1100</v>
      </c>
      <c r="D24" s="8">
        <f t="shared" si="19"/>
        <v>400</v>
      </c>
      <c r="E24" s="7">
        <f t="shared" si="20"/>
        <v>1.3636363636363635</v>
      </c>
      <c r="M24" s="8"/>
      <c r="N24" s="122"/>
      <c r="O24" s="123"/>
      <c r="P24" s="124"/>
      <c r="Q24" s="115"/>
      <c r="R24" s="91"/>
      <c r="S24" s="91"/>
      <c r="T24" s="135">
        <f>+B24</f>
        <v>1500</v>
      </c>
      <c r="U24" s="135">
        <v>100</v>
      </c>
      <c r="V24" s="135">
        <f t="shared" si="25"/>
        <v>1600</v>
      </c>
      <c r="W24" s="135">
        <v>1200</v>
      </c>
      <c r="X24" s="142">
        <f t="shared" si="26"/>
        <v>-400</v>
      </c>
      <c r="Y24" s="132">
        <f t="shared" si="27"/>
        <v>1200</v>
      </c>
      <c r="Z24" s="132">
        <f t="shared" si="27"/>
        <v>0</v>
      </c>
      <c r="AA24" s="132">
        <f t="shared" si="28"/>
        <v>1200</v>
      </c>
      <c r="AB24" s="135"/>
      <c r="AC24" s="135"/>
      <c r="AD24" s="135"/>
      <c r="AE24" s="135"/>
      <c r="AF24" s="135"/>
      <c r="AN24" s="117"/>
      <c r="AR24" s="91"/>
    </row>
    <row r="25" spans="1:46" s="130" customFormat="1" x14ac:dyDescent="0.25">
      <c r="A25" s="4" t="s">
        <v>112</v>
      </c>
      <c r="B25" s="3"/>
      <c r="C25" s="8">
        <f>1375</f>
        <v>1375</v>
      </c>
      <c r="D25" s="8">
        <f t="shared" si="19"/>
        <v>-1375</v>
      </c>
      <c r="E25" s="7">
        <f t="shared" si="20"/>
        <v>0</v>
      </c>
      <c r="M25" s="8"/>
      <c r="N25" s="122"/>
      <c r="O25" s="123"/>
      <c r="P25" s="124"/>
      <c r="Q25" s="115"/>
      <c r="R25" s="91"/>
      <c r="S25" s="91"/>
      <c r="T25" s="135"/>
      <c r="U25" s="135"/>
      <c r="V25" s="135">
        <f t="shared" si="25"/>
        <v>0</v>
      </c>
      <c r="W25" s="135">
        <v>1500</v>
      </c>
      <c r="X25" s="142">
        <f t="shared" si="26"/>
        <v>1500</v>
      </c>
      <c r="Y25" s="132">
        <f t="shared" si="27"/>
        <v>1000</v>
      </c>
      <c r="Z25" s="132">
        <f t="shared" si="27"/>
        <v>0</v>
      </c>
      <c r="AA25" s="132">
        <f t="shared" si="28"/>
        <v>1000</v>
      </c>
      <c r="AB25" s="135"/>
      <c r="AC25" s="135"/>
      <c r="AD25" s="135"/>
      <c r="AE25" s="135"/>
      <c r="AF25" s="135"/>
      <c r="AN25" s="117"/>
      <c r="AR25" s="91"/>
    </row>
    <row r="26" spans="1:46" x14ac:dyDescent="0.25">
      <c r="A26" s="4" t="s">
        <v>278</v>
      </c>
      <c r="B26" s="8"/>
      <c r="C26" s="8"/>
      <c r="D26" s="8"/>
      <c r="E26" s="7"/>
      <c r="M26" s="8">
        <v>50</v>
      </c>
      <c r="N26" s="122"/>
      <c r="O26" s="123"/>
      <c r="P26" s="124">
        <f t="shared" si="23"/>
        <v>0</v>
      </c>
      <c r="Q26" s="115">
        <f t="shared" si="24"/>
        <v>50</v>
      </c>
      <c r="R26" s="91"/>
      <c r="S26" s="91"/>
      <c r="T26" s="135"/>
      <c r="U26" s="135"/>
      <c r="V26" s="135">
        <f t="shared" si="25"/>
        <v>0</v>
      </c>
      <c r="W26" s="135"/>
      <c r="X26" s="142"/>
      <c r="Y26" s="132">
        <f t="shared" ref="Y26:Y39" si="29">+M29+O29</f>
        <v>500</v>
      </c>
      <c r="Z26" s="132"/>
      <c r="AA26" s="132">
        <f t="shared" si="28"/>
        <v>500</v>
      </c>
      <c r="AB26" s="132"/>
      <c r="AC26" s="132"/>
      <c r="AD26" s="132"/>
      <c r="AE26" s="132"/>
      <c r="AF26" s="132"/>
      <c r="AN26" s="110"/>
    </row>
    <row r="27" spans="1:46" x14ac:dyDescent="0.25">
      <c r="A27" s="4" t="s">
        <v>111</v>
      </c>
      <c r="B27" s="8">
        <f>799.67</f>
        <v>799.67</v>
      </c>
      <c r="C27" s="8">
        <f>1061</f>
        <v>1061</v>
      </c>
      <c r="D27" s="8">
        <f t="shared" ref="D27" si="30">(B27)-(C27)</f>
        <v>-261.33000000000004</v>
      </c>
      <c r="E27" s="7">
        <f t="shared" ref="E27" si="31">IF(C27=0,"",(B27)/(C27))</f>
        <v>0.75369462770970774</v>
      </c>
      <c r="M27" s="8">
        <v>1200</v>
      </c>
      <c r="N27" s="122"/>
      <c r="O27" s="123"/>
      <c r="P27" s="124">
        <f t="shared" si="23"/>
        <v>0</v>
      </c>
      <c r="Q27" s="115">
        <f t="shared" si="24"/>
        <v>1200</v>
      </c>
      <c r="R27" s="91"/>
      <c r="S27" s="91"/>
      <c r="T27" s="135">
        <f>+B27</f>
        <v>799.67</v>
      </c>
      <c r="U27" s="135">
        <v>183.33333333333334</v>
      </c>
      <c r="V27" s="135">
        <f t="shared" si="25"/>
        <v>983.00333333333333</v>
      </c>
      <c r="W27" s="135">
        <v>1061</v>
      </c>
      <c r="X27" s="142">
        <f t="shared" ref="X27:X30" si="32">+W27-V27</f>
        <v>77.99666666666667</v>
      </c>
      <c r="Y27" s="132">
        <f t="shared" si="29"/>
        <v>0</v>
      </c>
      <c r="Z27" s="132">
        <f>+N30+P30</f>
        <v>0</v>
      </c>
      <c r="AA27" s="132">
        <f t="shared" si="28"/>
        <v>0</v>
      </c>
      <c r="AB27" s="132"/>
      <c r="AC27" s="132"/>
      <c r="AD27" s="132"/>
      <c r="AE27" s="132"/>
      <c r="AF27" s="132"/>
      <c r="AN27" s="111"/>
      <c r="AQ27" t="s">
        <v>215</v>
      </c>
      <c r="AR27" s="91">
        <v>7500</v>
      </c>
    </row>
    <row r="28" spans="1:46" ht="15.75" thickBot="1" x14ac:dyDescent="0.3">
      <c r="A28" s="4" t="s">
        <v>110</v>
      </c>
      <c r="B28" s="8">
        <f>331.62</f>
        <v>331.62</v>
      </c>
      <c r="C28" s="8">
        <f>916.63</f>
        <v>916.63</v>
      </c>
      <c r="D28" s="8">
        <f t="shared" ref="D28" si="33">(B28)-(C28)</f>
        <v>-585.01</v>
      </c>
      <c r="E28" s="7">
        <f t="shared" ref="E28" si="34">IF(C28=0,"",(B28)/(C28))</f>
        <v>0.36178174399703261</v>
      </c>
      <c r="M28" s="8">
        <f>1000</f>
        <v>1000</v>
      </c>
      <c r="N28" s="122"/>
      <c r="O28" s="123"/>
      <c r="P28" s="124">
        <f t="shared" si="23"/>
        <v>0</v>
      </c>
      <c r="Q28" s="115">
        <f t="shared" si="24"/>
        <v>1000</v>
      </c>
      <c r="R28" s="91"/>
      <c r="S28" s="91"/>
      <c r="T28" s="135">
        <f>+B28</f>
        <v>331.62</v>
      </c>
      <c r="U28" s="135">
        <v>83.333333333333329</v>
      </c>
      <c r="V28" s="135">
        <f t="shared" si="25"/>
        <v>414.95333333333332</v>
      </c>
      <c r="W28" s="135">
        <v>1000</v>
      </c>
      <c r="X28" s="142">
        <f t="shared" si="32"/>
        <v>585.04666666666662</v>
      </c>
      <c r="Y28" s="132">
        <f t="shared" si="29"/>
        <v>6500</v>
      </c>
      <c r="Z28" s="132"/>
      <c r="AA28" s="132">
        <f t="shared" si="28"/>
        <v>6500</v>
      </c>
      <c r="AB28" s="132"/>
      <c r="AC28" s="132"/>
      <c r="AD28" s="132"/>
      <c r="AE28" s="132"/>
      <c r="AF28" s="132"/>
      <c r="AN28" s="112">
        <f>SUM(AN8:AN27)</f>
        <v>118215.23999999999</v>
      </c>
      <c r="AO28" s="105">
        <f>+AN28/AO7</f>
        <v>0.98512699999999997</v>
      </c>
      <c r="AQ28" t="s">
        <v>239</v>
      </c>
    </row>
    <row r="29" spans="1:46" s="114" customFormat="1" ht="15.75" thickTop="1" x14ac:dyDescent="0.25">
      <c r="A29" s="4" t="s">
        <v>109</v>
      </c>
      <c r="B29" s="8">
        <f>33000</f>
        <v>33000</v>
      </c>
      <c r="C29" s="8">
        <f>29500</f>
        <v>29500</v>
      </c>
      <c r="D29" s="8">
        <f t="shared" ref="D29:D62" si="35">(B29)-(C29)</f>
        <v>3500</v>
      </c>
      <c r="E29" s="7">
        <f t="shared" ref="E29:E64" si="36">IF(C29=0,"",(B29)/(C29))</f>
        <v>1.1186440677966101</v>
      </c>
      <c r="M29" s="8"/>
      <c r="N29" s="122"/>
      <c r="O29" s="123">
        <v>500</v>
      </c>
      <c r="P29" s="124">
        <f t="shared" ref="P29:P33" si="37">+N29+O29</f>
        <v>500</v>
      </c>
      <c r="Q29" s="115">
        <f t="shared" si="24"/>
        <v>500</v>
      </c>
      <c r="R29" s="91"/>
      <c r="S29" s="91"/>
      <c r="T29" s="135">
        <f>+B29</f>
        <v>33000</v>
      </c>
      <c r="U29" s="135">
        <v>2691</v>
      </c>
      <c r="V29" s="135">
        <f t="shared" si="25"/>
        <v>35691</v>
      </c>
      <c r="W29" s="135">
        <v>29500</v>
      </c>
      <c r="X29" s="142">
        <f t="shared" si="32"/>
        <v>-6191</v>
      </c>
      <c r="Y29" s="132">
        <f t="shared" si="29"/>
        <v>33000</v>
      </c>
      <c r="Z29" s="132">
        <f>+N32+P32</f>
        <v>0</v>
      </c>
      <c r="AA29" s="132">
        <f t="shared" si="28"/>
        <v>33000</v>
      </c>
      <c r="AB29" s="132"/>
      <c r="AC29" s="132"/>
      <c r="AD29" s="132"/>
      <c r="AE29" s="132"/>
      <c r="AF29" s="132"/>
      <c r="AN29" s="117"/>
      <c r="AO29" s="105"/>
    </row>
    <row r="30" spans="1:46" x14ac:dyDescent="0.25">
      <c r="A30" s="4" t="s">
        <v>108</v>
      </c>
      <c r="B30" s="8">
        <f>1.25</f>
        <v>1.25</v>
      </c>
      <c r="C30" s="8">
        <f>91.63</f>
        <v>91.63</v>
      </c>
      <c r="D30" s="8">
        <f t="shared" si="35"/>
        <v>-90.38</v>
      </c>
      <c r="E30" s="7">
        <f t="shared" si="36"/>
        <v>1.3641820364509441E-2</v>
      </c>
      <c r="M30" s="103">
        <f>(260*4)-1040</f>
        <v>0</v>
      </c>
      <c r="N30" s="122"/>
      <c r="O30" s="123"/>
      <c r="P30" s="124">
        <f t="shared" si="37"/>
        <v>0</v>
      </c>
      <c r="Q30" s="115">
        <f t="shared" si="24"/>
        <v>0</v>
      </c>
      <c r="R30" s="91"/>
      <c r="S30" s="91"/>
      <c r="T30" s="135">
        <f t="shared" ref="T30:T39" si="38">+B30</f>
        <v>1.25</v>
      </c>
      <c r="U30" s="135">
        <v>16.666666666666668</v>
      </c>
      <c r="V30" s="135">
        <f t="shared" si="25"/>
        <v>17.916666666666668</v>
      </c>
      <c r="W30" s="135">
        <v>100</v>
      </c>
      <c r="X30" s="142">
        <f t="shared" si="32"/>
        <v>82.083333333333329</v>
      </c>
      <c r="Y30" s="132">
        <f t="shared" si="29"/>
        <v>50</v>
      </c>
      <c r="Z30" s="132">
        <f>+N33+P33</f>
        <v>0</v>
      </c>
      <c r="AA30" s="132">
        <f t="shared" si="28"/>
        <v>50</v>
      </c>
      <c r="AB30" s="132"/>
      <c r="AC30" s="132"/>
      <c r="AD30" s="132"/>
      <c r="AE30" s="132"/>
      <c r="AF30" s="132"/>
      <c r="AQ30" t="s">
        <v>240</v>
      </c>
    </row>
    <row r="31" spans="1:46" x14ac:dyDescent="0.25">
      <c r="A31" s="4" t="s">
        <v>208</v>
      </c>
      <c r="B31" s="8">
        <f>0</f>
        <v>0</v>
      </c>
      <c r="C31" s="3"/>
      <c r="D31" s="8">
        <f t="shared" si="35"/>
        <v>0</v>
      </c>
      <c r="E31" s="7" t="str">
        <f t="shared" si="36"/>
        <v/>
      </c>
      <c r="M31" s="8">
        <v>500</v>
      </c>
      <c r="N31" s="122"/>
      <c r="O31" s="123">
        <v>6000</v>
      </c>
      <c r="P31" s="124">
        <f t="shared" si="37"/>
        <v>6000</v>
      </c>
      <c r="Q31" s="115">
        <f t="shared" si="24"/>
        <v>6500</v>
      </c>
      <c r="R31" s="91"/>
      <c r="S31" s="91"/>
      <c r="T31" s="135">
        <f t="shared" si="38"/>
        <v>0</v>
      </c>
      <c r="U31" s="134"/>
      <c r="V31" s="135">
        <f t="shared" si="25"/>
        <v>0</v>
      </c>
      <c r="W31" s="134"/>
      <c r="X31" s="144"/>
      <c r="Y31" s="132">
        <f t="shared" si="29"/>
        <v>0</v>
      </c>
      <c r="Z31" s="132">
        <f>+N34+P34</f>
        <v>0</v>
      </c>
      <c r="AA31" s="132">
        <f t="shared" si="28"/>
        <v>0</v>
      </c>
      <c r="AB31" s="132"/>
      <c r="AC31" s="132"/>
      <c r="AD31" s="132"/>
      <c r="AE31" s="132"/>
      <c r="AF31" s="132"/>
    </row>
    <row r="32" spans="1:46" x14ac:dyDescent="0.25">
      <c r="A32" s="4" t="s">
        <v>107</v>
      </c>
      <c r="B32" s="8">
        <f>1100</f>
        <v>1100</v>
      </c>
      <c r="C32" s="8">
        <f>1833.37</f>
        <v>1833.37</v>
      </c>
      <c r="D32" s="8">
        <f t="shared" si="35"/>
        <v>-733.36999999999989</v>
      </c>
      <c r="E32" s="7">
        <f t="shared" si="36"/>
        <v>0.59998800023999521</v>
      </c>
      <c r="M32" s="8">
        <f>(9000*4)-3000</f>
        <v>33000</v>
      </c>
      <c r="N32" s="122"/>
      <c r="O32" s="123"/>
      <c r="P32" s="124">
        <f t="shared" si="37"/>
        <v>0</v>
      </c>
      <c r="Q32" s="115">
        <f t="shared" si="24"/>
        <v>33000</v>
      </c>
      <c r="R32" s="91"/>
      <c r="S32" s="91"/>
      <c r="T32" s="135">
        <f t="shared" si="38"/>
        <v>1100</v>
      </c>
      <c r="U32" s="135">
        <f>(125*3)/3</f>
        <v>125</v>
      </c>
      <c r="V32" s="135">
        <f t="shared" si="25"/>
        <v>1225</v>
      </c>
      <c r="W32" s="135">
        <v>2000</v>
      </c>
      <c r="X32" s="142">
        <f>+W32-V32</f>
        <v>775</v>
      </c>
      <c r="Y32" s="132">
        <f t="shared" si="29"/>
        <v>3500</v>
      </c>
      <c r="Z32" s="132"/>
      <c r="AA32" s="132">
        <f t="shared" si="28"/>
        <v>3500</v>
      </c>
      <c r="AB32" s="132"/>
      <c r="AC32" s="132"/>
      <c r="AD32" s="132"/>
      <c r="AE32" s="132"/>
      <c r="AF32" s="132"/>
      <c r="AI32">
        <v>15500000</v>
      </c>
      <c r="AM32">
        <f>+AI32*0.0021</f>
        <v>32549.999999999996</v>
      </c>
      <c r="AQ32" t="s">
        <v>243</v>
      </c>
    </row>
    <row r="33" spans="1:47" x14ac:dyDescent="0.25">
      <c r="A33" s="4" t="s">
        <v>191</v>
      </c>
      <c r="B33" s="8">
        <f>55.5</f>
        <v>55.5</v>
      </c>
      <c r="C33" s="3"/>
      <c r="D33" s="8">
        <f t="shared" si="35"/>
        <v>55.5</v>
      </c>
      <c r="E33" s="7" t="str">
        <f t="shared" si="36"/>
        <v/>
      </c>
      <c r="M33" s="8">
        <v>50</v>
      </c>
      <c r="N33" s="122"/>
      <c r="O33" s="123"/>
      <c r="P33" s="124">
        <f t="shared" si="37"/>
        <v>0</v>
      </c>
      <c r="Q33" s="115">
        <f t="shared" si="24"/>
        <v>50</v>
      </c>
      <c r="R33" s="91"/>
      <c r="S33" s="91"/>
      <c r="T33" s="135">
        <f t="shared" si="38"/>
        <v>55.5</v>
      </c>
      <c r="U33" s="134">
        <f>(5.555555555555/356*3)</f>
        <v>4.6816479400744383E-2</v>
      </c>
      <c r="V33" s="135">
        <f t="shared" si="25"/>
        <v>55.546816479400746</v>
      </c>
      <c r="W33" s="134">
        <v>0</v>
      </c>
      <c r="X33" s="142">
        <f>+W33-V33</f>
        <v>-55.546816479400746</v>
      </c>
      <c r="Y33" s="132">
        <f t="shared" si="29"/>
        <v>0</v>
      </c>
      <c r="Z33" s="132">
        <f>+N36+P36</f>
        <v>0</v>
      </c>
      <c r="AA33" s="132">
        <f t="shared" si="28"/>
        <v>0</v>
      </c>
      <c r="AB33" s="132"/>
      <c r="AC33" s="132"/>
      <c r="AD33" s="132"/>
      <c r="AE33" s="132"/>
      <c r="AF33" s="132"/>
      <c r="AQ33" t="s">
        <v>224</v>
      </c>
    </row>
    <row r="34" spans="1:47" x14ac:dyDescent="0.25">
      <c r="A34" s="4" t="s">
        <v>106</v>
      </c>
      <c r="B34" s="3"/>
      <c r="C34" s="8">
        <f>458.37</f>
        <v>458.37</v>
      </c>
      <c r="D34" s="8">
        <f t="shared" si="35"/>
        <v>-458.37</v>
      </c>
      <c r="E34" s="7">
        <f t="shared" si="36"/>
        <v>0</v>
      </c>
      <c r="M34" s="3"/>
      <c r="N34" s="122"/>
      <c r="O34" s="123"/>
      <c r="P34" s="124">
        <f t="shared" si="23"/>
        <v>0</v>
      </c>
      <c r="Q34" s="115">
        <f t="shared" si="24"/>
        <v>0</v>
      </c>
      <c r="R34" s="91"/>
      <c r="S34" s="91"/>
      <c r="T34" s="135">
        <f t="shared" si="38"/>
        <v>0</v>
      </c>
      <c r="U34" s="135"/>
      <c r="V34" s="135">
        <f t="shared" si="25"/>
        <v>0</v>
      </c>
      <c r="W34" s="135">
        <v>500</v>
      </c>
      <c r="X34" s="142">
        <f>+W34-V34</f>
        <v>500</v>
      </c>
      <c r="Y34" s="132">
        <f t="shared" si="29"/>
        <v>550</v>
      </c>
      <c r="Z34" s="132"/>
      <c r="AA34" s="132">
        <f t="shared" si="28"/>
        <v>550</v>
      </c>
      <c r="AB34" s="132"/>
      <c r="AC34" s="132"/>
      <c r="AD34" s="132"/>
      <c r="AE34" s="132"/>
      <c r="AF34" s="132"/>
      <c r="AQ34" t="s">
        <v>241</v>
      </c>
      <c r="AR34" s="105">
        <f>7000-1800-1000</f>
        <v>4200</v>
      </c>
    </row>
    <row r="35" spans="1:47" x14ac:dyDescent="0.25">
      <c r="A35" s="4" t="s">
        <v>105</v>
      </c>
      <c r="B35" s="3"/>
      <c r="C35" s="3"/>
      <c r="D35" s="8">
        <f t="shared" si="35"/>
        <v>0</v>
      </c>
      <c r="E35" s="7" t="str">
        <f t="shared" si="36"/>
        <v/>
      </c>
      <c r="H35" s="83">
        <f>SUM(B24:B39)</f>
        <v>159636.54999999999</v>
      </c>
      <c r="I35" s="83">
        <f>SUM(C24:C39)</f>
        <v>160086</v>
      </c>
      <c r="J35" s="80">
        <f>+I35-H35</f>
        <v>449.45000000001164</v>
      </c>
      <c r="K35" s="82">
        <f>+J35+J48+J52+J60+J65</f>
        <v>721.35000000001151</v>
      </c>
      <c r="M35" s="8">
        <v>0</v>
      </c>
      <c r="N35" s="122"/>
      <c r="O35" s="123">
        <v>3500</v>
      </c>
      <c r="P35" s="124">
        <f t="shared" si="23"/>
        <v>3500</v>
      </c>
      <c r="Q35" s="115">
        <f t="shared" si="24"/>
        <v>3500</v>
      </c>
      <c r="R35" s="91"/>
      <c r="S35" s="163"/>
      <c r="T35" s="135">
        <f t="shared" si="38"/>
        <v>0</v>
      </c>
      <c r="U35" s="134"/>
      <c r="V35" s="135">
        <f t="shared" si="25"/>
        <v>0</v>
      </c>
      <c r="W35" s="134"/>
      <c r="X35" s="144"/>
      <c r="Y35" s="132">
        <f t="shared" si="29"/>
        <v>0</v>
      </c>
      <c r="Z35" s="132">
        <f>+N38+P38</f>
        <v>0</v>
      </c>
      <c r="AA35" s="132">
        <f t="shared" si="28"/>
        <v>0</v>
      </c>
      <c r="AB35" s="132"/>
      <c r="AC35" s="132"/>
      <c r="AD35" s="132"/>
      <c r="AE35" s="132"/>
      <c r="AF35" s="132"/>
      <c r="AQ35" t="s">
        <v>242</v>
      </c>
      <c r="AR35" s="105">
        <f>150*12</f>
        <v>1800</v>
      </c>
    </row>
    <row r="36" spans="1:47" x14ac:dyDescent="0.25">
      <c r="A36" s="4" t="s">
        <v>104</v>
      </c>
      <c r="B36" s="8">
        <f>3654.25</f>
        <v>3654.25</v>
      </c>
      <c r="C36" s="8">
        <f>4583.37</f>
        <v>4583.37</v>
      </c>
      <c r="D36" s="8">
        <f t="shared" si="35"/>
        <v>-929.11999999999989</v>
      </c>
      <c r="E36" s="7">
        <f t="shared" si="36"/>
        <v>0.79728453081466255</v>
      </c>
      <c r="M36" s="3"/>
      <c r="N36" s="122"/>
      <c r="O36" s="123"/>
      <c r="P36" s="124">
        <f t="shared" si="23"/>
        <v>0</v>
      </c>
      <c r="Q36" s="115">
        <f t="shared" si="24"/>
        <v>0</v>
      </c>
      <c r="R36" s="91"/>
      <c r="S36" s="91"/>
      <c r="T36" s="135">
        <f t="shared" si="38"/>
        <v>3654.25</v>
      </c>
      <c r="U36" s="135">
        <f>(125*3)/3</f>
        <v>125</v>
      </c>
      <c r="V36" s="135">
        <f t="shared" si="25"/>
        <v>3779.25</v>
      </c>
      <c r="W36" s="135">
        <v>5000</v>
      </c>
      <c r="X36" s="142">
        <f>+W36-V36</f>
        <v>1220.75</v>
      </c>
      <c r="Y36" s="132">
        <f t="shared" si="29"/>
        <v>1270</v>
      </c>
      <c r="Z36" s="132">
        <f>+N39+P39</f>
        <v>0</v>
      </c>
      <c r="AA36" s="132">
        <f t="shared" si="28"/>
        <v>1270</v>
      </c>
      <c r="AB36" s="132"/>
      <c r="AC36" s="132"/>
      <c r="AD36" s="132"/>
      <c r="AE36" s="132"/>
      <c r="AF36" s="132"/>
      <c r="AR36" s="105">
        <f t="shared" ref="AR36" si="39">SUM(AR30:AR35)</f>
        <v>6000</v>
      </c>
    </row>
    <row r="37" spans="1:47" x14ac:dyDescent="0.25">
      <c r="A37" s="4" t="s">
        <v>103</v>
      </c>
      <c r="B37" s="8">
        <f>107388.9</f>
        <v>107388.9</v>
      </c>
      <c r="C37" s="8">
        <f>107250</f>
        <v>107250</v>
      </c>
      <c r="D37" s="8">
        <f t="shared" si="35"/>
        <v>138.89999999999418</v>
      </c>
      <c r="E37" s="7">
        <f t="shared" si="36"/>
        <v>1.0012951048951049</v>
      </c>
      <c r="M37" s="8">
        <v>250</v>
      </c>
      <c r="N37" s="122"/>
      <c r="O37" s="123">
        <v>300</v>
      </c>
      <c r="P37" s="124">
        <f t="shared" si="23"/>
        <v>300</v>
      </c>
      <c r="Q37" s="115">
        <f t="shared" si="24"/>
        <v>550</v>
      </c>
      <c r="R37" s="91">
        <f>SUM(Q23:Q37)</f>
        <v>46350</v>
      </c>
      <c r="S37" s="91"/>
      <c r="T37" s="135">
        <f t="shared" si="38"/>
        <v>107388.9</v>
      </c>
      <c r="U37" s="135">
        <f>10000+1400</f>
        <v>11400</v>
      </c>
      <c r="V37" s="135">
        <f t="shared" si="25"/>
        <v>118788.9</v>
      </c>
      <c r="W37" s="135">
        <v>117000</v>
      </c>
      <c r="X37" s="142">
        <f>+W37-V37</f>
        <v>-1788.8999999999942</v>
      </c>
      <c r="Y37" s="132">
        <f t="shared" si="29"/>
        <v>118050</v>
      </c>
      <c r="Z37" s="132">
        <v>24000</v>
      </c>
      <c r="AA37" s="132">
        <f t="shared" si="28"/>
        <v>142050</v>
      </c>
      <c r="AB37" s="132"/>
      <c r="AC37" s="132"/>
      <c r="AD37" s="132"/>
      <c r="AE37" s="132"/>
      <c r="AF37" s="132"/>
    </row>
    <row r="38" spans="1:47" x14ac:dyDescent="0.25">
      <c r="A38" s="4" t="s">
        <v>102</v>
      </c>
      <c r="B38" s="8">
        <f>1139.31</f>
        <v>1139.31</v>
      </c>
      <c r="C38" s="8">
        <f>1191.63</f>
        <v>1191.6300000000001</v>
      </c>
      <c r="D38" s="8">
        <f t="shared" si="35"/>
        <v>-52.320000000000164</v>
      </c>
      <c r="E38" s="7">
        <f t="shared" si="36"/>
        <v>0.95609375393368734</v>
      </c>
      <c r="M38" s="3"/>
      <c r="N38" s="122"/>
      <c r="O38" s="123"/>
      <c r="P38" s="124">
        <f t="shared" si="23"/>
        <v>0</v>
      </c>
      <c r="Q38" s="115">
        <f t="shared" si="24"/>
        <v>0</v>
      </c>
      <c r="R38" s="91"/>
      <c r="S38" s="91"/>
      <c r="T38" s="135">
        <f t="shared" si="38"/>
        <v>1139.31</v>
      </c>
      <c r="U38" s="135">
        <f>(50*6)/3</f>
        <v>100</v>
      </c>
      <c r="V38" s="135">
        <f t="shared" si="25"/>
        <v>1239.31</v>
      </c>
      <c r="W38" s="135">
        <v>1300</v>
      </c>
      <c r="X38" s="142">
        <f>+W38-V38</f>
        <v>60.690000000000055</v>
      </c>
      <c r="Y38" s="132">
        <f t="shared" si="29"/>
        <v>1000</v>
      </c>
      <c r="Z38" s="132">
        <f>+N41+P41</f>
        <v>0</v>
      </c>
      <c r="AA38" s="132">
        <f t="shared" si="28"/>
        <v>1000</v>
      </c>
      <c r="AB38" s="132"/>
      <c r="AC38" s="132"/>
      <c r="AD38" s="132"/>
      <c r="AE38" s="132"/>
      <c r="AF38" s="132"/>
      <c r="AQ38" t="s">
        <v>237</v>
      </c>
      <c r="AR38">
        <v>0.58499999999999996</v>
      </c>
      <c r="AT38" t="s">
        <v>247</v>
      </c>
    </row>
    <row r="39" spans="1:47" ht="15.75" thickBot="1" x14ac:dyDescent="0.3">
      <c r="A39" s="4" t="s">
        <v>101</v>
      </c>
      <c r="B39" s="8">
        <f>10666.05</f>
        <v>10666.05</v>
      </c>
      <c r="C39" s="8">
        <f>10725</f>
        <v>10725</v>
      </c>
      <c r="D39" s="8">
        <f t="shared" si="35"/>
        <v>-58.950000000000728</v>
      </c>
      <c r="E39" s="7">
        <f t="shared" si="36"/>
        <v>0.99450349650349645</v>
      </c>
      <c r="M39" s="8">
        <f>+(170*12)/2+250</f>
        <v>1270</v>
      </c>
      <c r="N39" s="122"/>
      <c r="O39" s="123"/>
      <c r="P39" s="124">
        <f t="shared" si="23"/>
        <v>0</v>
      </c>
      <c r="Q39" s="115">
        <f t="shared" si="24"/>
        <v>1270</v>
      </c>
      <c r="R39" s="91"/>
      <c r="S39" s="91"/>
      <c r="T39" s="135">
        <f t="shared" si="38"/>
        <v>10666.05</v>
      </c>
      <c r="U39" s="135">
        <f>+(U37*0.1)</f>
        <v>1140</v>
      </c>
      <c r="V39" s="135">
        <f t="shared" si="25"/>
        <v>11806.05</v>
      </c>
      <c r="W39" s="135">
        <v>11700</v>
      </c>
      <c r="X39" s="142">
        <f>+W39-V39</f>
        <v>-106.04999999999927</v>
      </c>
      <c r="Y39" s="132">
        <f t="shared" si="29"/>
        <v>11805</v>
      </c>
      <c r="Z39" s="132">
        <f>+Z37*0.1</f>
        <v>2400</v>
      </c>
      <c r="AA39" s="132">
        <f t="shared" si="28"/>
        <v>14205</v>
      </c>
      <c r="AB39" s="132"/>
      <c r="AC39" s="132"/>
      <c r="AD39" s="132"/>
      <c r="AE39" s="132"/>
      <c r="AF39" s="132"/>
      <c r="AR39">
        <v>40</v>
      </c>
      <c r="AS39" t="s">
        <v>244</v>
      </c>
    </row>
    <row r="40" spans="1:47" ht="24" thickBot="1" x14ac:dyDescent="0.3">
      <c r="A40" s="4" t="s">
        <v>100</v>
      </c>
      <c r="B40" s="6">
        <f>((((B35)+(B36))+(B37))+(B38))+(B39)</f>
        <v>122848.51</v>
      </c>
      <c r="C40" s="6">
        <f>((((C35)+(C36))+(C37))+(C38))+(C39)</f>
        <v>123750</v>
      </c>
      <c r="D40" s="6">
        <f t="shared" si="35"/>
        <v>-901.49000000000524</v>
      </c>
      <c r="E40" s="5">
        <f t="shared" si="36"/>
        <v>0.99271523232323233</v>
      </c>
      <c r="H40" s="83">
        <f>+B45</f>
        <v>33938.75</v>
      </c>
      <c r="I40" s="83">
        <f>+C45</f>
        <v>37783.370000000003</v>
      </c>
      <c r="J40" s="80">
        <f>+I40-H40</f>
        <v>3844.6200000000026</v>
      </c>
      <c r="K40" t="s">
        <v>207</v>
      </c>
      <c r="M40" s="8">
        <f>+AW12-AN8</f>
        <v>67113.600000000006</v>
      </c>
      <c r="N40" s="122">
        <v>24000</v>
      </c>
      <c r="O40" s="123">
        <f>74936.4-24000</f>
        <v>50936.399999999994</v>
      </c>
      <c r="P40" s="124">
        <f t="shared" si="23"/>
        <v>74936.399999999994</v>
      </c>
      <c r="Q40" s="115">
        <f t="shared" si="24"/>
        <v>142050</v>
      </c>
      <c r="R40" s="91"/>
      <c r="S40" s="91"/>
      <c r="T40" s="133">
        <f t="shared" ref="T40:V40" si="40">((((T35)+(T36))+(T37))+(T38))+(T39)</f>
        <v>122848.51</v>
      </c>
      <c r="U40" s="133">
        <f t="shared" si="40"/>
        <v>12765</v>
      </c>
      <c r="V40" s="133">
        <f t="shared" si="40"/>
        <v>135613.50999999998</v>
      </c>
      <c r="W40" s="133">
        <f>((((W35)+(W36))+(W37))+(W38))+(W39)</f>
        <v>135000</v>
      </c>
      <c r="X40" s="143">
        <f>((((X35)+(X36))+(X37))+(X38))+(X39)</f>
        <v>-613.5099999999934</v>
      </c>
      <c r="Y40" s="133">
        <f>((((Y35)+(Y36))+(Y37))+(Y38))+(Y39)</f>
        <v>132125</v>
      </c>
      <c r="Z40" s="133">
        <f>((((Z35)+(Z36))+(Z37))+(Z38))+(Z39)</f>
        <v>26400</v>
      </c>
      <c r="AA40" s="133">
        <f>((((AA35)+(AA36))+(AA37))+(AA38))+(AA39)</f>
        <v>158525</v>
      </c>
      <c r="AB40" s="132"/>
      <c r="AC40" s="132">
        <v>141348</v>
      </c>
      <c r="AD40" s="132" t="s">
        <v>261</v>
      </c>
      <c r="AE40" s="132"/>
      <c r="AF40" s="132"/>
      <c r="AR40" s="106">
        <f>+AR39*AR38</f>
        <v>23.4</v>
      </c>
      <c r="AT40">
        <v>4</v>
      </c>
      <c r="AU40">
        <f>+AR40*AT40</f>
        <v>93.6</v>
      </c>
    </row>
    <row r="41" spans="1:47" ht="15.75" thickBot="1" x14ac:dyDescent="0.3">
      <c r="A41" s="4" t="s">
        <v>99</v>
      </c>
      <c r="B41" s="3"/>
      <c r="C41" s="3"/>
      <c r="D41" s="8">
        <f t="shared" si="35"/>
        <v>0</v>
      </c>
      <c r="E41" s="7" t="str">
        <f t="shared" si="36"/>
        <v/>
      </c>
      <c r="M41" s="8">
        <v>1000</v>
      </c>
      <c r="N41" s="122"/>
      <c r="O41" s="123"/>
      <c r="P41" s="124">
        <f t="shared" si="23"/>
        <v>0</v>
      </c>
      <c r="Q41" s="115">
        <f t="shared" si="24"/>
        <v>1000</v>
      </c>
      <c r="R41" s="91"/>
      <c r="S41" s="91"/>
      <c r="X41" s="155"/>
      <c r="AB41" s="132"/>
      <c r="AC41" s="132">
        <f>+AA37-AC40</f>
        <v>702</v>
      </c>
      <c r="AD41" s="132"/>
      <c r="AE41" s="132"/>
      <c r="AF41" s="132"/>
      <c r="AR41">
        <v>40</v>
      </c>
      <c r="AS41" t="s">
        <v>245</v>
      </c>
    </row>
    <row r="42" spans="1:47" ht="15.75" thickBot="1" x14ac:dyDescent="0.3">
      <c r="A42" s="4" t="s">
        <v>98</v>
      </c>
      <c r="B42" s="8">
        <f>24200</f>
        <v>24200</v>
      </c>
      <c r="C42" s="8">
        <f>24200</f>
        <v>24200</v>
      </c>
      <c r="D42" s="8">
        <f t="shared" si="35"/>
        <v>0</v>
      </c>
      <c r="E42" s="7">
        <f t="shared" si="36"/>
        <v>1</v>
      </c>
      <c r="M42" s="8">
        <f>+M40*0.1</f>
        <v>6711.3600000000006</v>
      </c>
      <c r="N42" s="122">
        <f>+N40*0.1</f>
        <v>2400</v>
      </c>
      <c r="O42" s="123">
        <f>+O40*0.1</f>
        <v>5093.6399999999994</v>
      </c>
      <c r="P42" s="124">
        <f t="shared" si="23"/>
        <v>7493.6399999999994</v>
      </c>
      <c r="Q42" s="115">
        <f t="shared" si="24"/>
        <v>14205</v>
      </c>
      <c r="R42" s="91"/>
      <c r="S42" s="91"/>
      <c r="T42" s="135">
        <f>+B42</f>
        <v>24200</v>
      </c>
      <c r="U42" s="135">
        <f>(2200*3)/3</f>
        <v>2200</v>
      </c>
      <c r="V42" s="135">
        <f t="shared" ref="V42:V44" si="41">+T42+U42</f>
        <v>26400</v>
      </c>
      <c r="W42" s="135">
        <v>26400</v>
      </c>
      <c r="X42" s="142">
        <f>+W42-V42</f>
        <v>0</v>
      </c>
      <c r="Y42" s="132">
        <f>+M45+O45</f>
        <v>26400</v>
      </c>
      <c r="Z42" s="132"/>
      <c r="AA42" s="132">
        <f t="shared" ref="AA42:AA44" si="42">+Y42+Z42</f>
        <v>26400</v>
      </c>
      <c r="AB42" s="132"/>
      <c r="AC42" s="132"/>
      <c r="AD42" s="132"/>
      <c r="AE42" s="132"/>
      <c r="AF42" s="132"/>
      <c r="AR42" s="106">
        <f>+AR41*AR38</f>
        <v>23.4</v>
      </c>
      <c r="AT42">
        <v>4</v>
      </c>
      <c r="AU42" s="101">
        <f>+AR42*AT42</f>
        <v>93.6</v>
      </c>
    </row>
    <row r="43" spans="1:47" ht="15.75" thickBot="1" x14ac:dyDescent="0.3">
      <c r="A43" s="4" t="s">
        <v>97</v>
      </c>
      <c r="B43" s="8">
        <f>9250</f>
        <v>9250</v>
      </c>
      <c r="C43" s="8">
        <f>9000</f>
        <v>9000</v>
      </c>
      <c r="D43" s="8">
        <f t="shared" si="35"/>
        <v>250</v>
      </c>
      <c r="E43" s="7">
        <f t="shared" si="36"/>
        <v>1.0277777777777777</v>
      </c>
      <c r="M43" s="6">
        <f>((((M38)+(M39))+(M40))+(M41))+(M42)</f>
        <v>76094.960000000006</v>
      </c>
      <c r="N43" s="125">
        <f t="shared" ref="N43:Q43" si="43">((((N38)+(N39))+(N40))+(N41))+(N42)</f>
        <v>26400</v>
      </c>
      <c r="O43" s="6">
        <f t="shared" si="43"/>
        <v>56030.039999999994</v>
      </c>
      <c r="P43" s="126">
        <f t="shared" si="43"/>
        <v>82430.039999999994</v>
      </c>
      <c r="Q43" s="6">
        <f t="shared" si="43"/>
        <v>158525</v>
      </c>
      <c r="R43" s="91"/>
      <c r="S43" s="91"/>
      <c r="T43" s="135">
        <f t="shared" ref="T43:T44" si="44">+B43</f>
        <v>9250</v>
      </c>
      <c r="U43" s="135">
        <v>0</v>
      </c>
      <c r="V43" s="135">
        <f t="shared" si="41"/>
        <v>9250</v>
      </c>
      <c r="W43" s="135">
        <v>9000</v>
      </c>
      <c r="X43" s="142">
        <f t="shared" ref="X43:X44" si="45">+W43-V43</f>
        <v>-250</v>
      </c>
      <c r="Y43" s="132">
        <f>+M46+O46</f>
        <v>9500</v>
      </c>
      <c r="Z43" s="132">
        <f>+N46+P46</f>
        <v>0</v>
      </c>
      <c r="AA43" s="132">
        <f t="shared" si="42"/>
        <v>9500</v>
      </c>
      <c r="AB43" s="137"/>
      <c r="AC43" s="137"/>
      <c r="AD43" s="137"/>
      <c r="AE43" s="137"/>
      <c r="AF43" s="137"/>
      <c r="AR43" s="107">
        <v>40</v>
      </c>
      <c r="AS43" t="s">
        <v>246</v>
      </c>
    </row>
    <row r="44" spans="1:47" ht="15.75" thickBot="1" x14ac:dyDescent="0.3">
      <c r="A44" s="4" t="s">
        <v>96</v>
      </c>
      <c r="B44" s="8">
        <f>488.75</f>
        <v>488.75</v>
      </c>
      <c r="C44" s="8">
        <f>4583.37</f>
        <v>4583.37</v>
      </c>
      <c r="D44" s="8">
        <f t="shared" si="35"/>
        <v>-4094.62</v>
      </c>
      <c r="E44" s="7">
        <f t="shared" si="36"/>
        <v>0.10663551055227923</v>
      </c>
      <c r="M44" s="3"/>
      <c r="N44" s="122"/>
      <c r="O44" s="123"/>
      <c r="P44" s="124"/>
      <c r="Q44" s="3"/>
      <c r="R44" s="91"/>
      <c r="S44" s="91"/>
      <c r="T44" s="135">
        <f t="shared" si="44"/>
        <v>488.75</v>
      </c>
      <c r="U44" s="135">
        <v>0</v>
      </c>
      <c r="V44" s="135">
        <f t="shared" si="41"/>
        <v>488.75</v>
      </c>
      <c r="W44" s="135">
        <v>5000</v>
      </c>
      <c r="X44" s="142">
        <f t="shared" si="45"/>
        <v>4511.25</v>
      </c>
      <c r="Y44" s="132">
        <f>+M47+O47</f>
        <v>1000</v>
      </c>
      <c r="Z44" s="132">
        <f>+N47+P47</f>
        <v>0</v>
      </c>
      <c r="AA44" s="132">
        <f t="shared" si="42"/>
        <v>1000</v>
      </c>
      <c r="AB44" s="134"/>
      <c r="AC44" s="134"/>
      <c r="AD44" s="134"/>
      <c r="AE44" s="134"/>
      <c r="AF44" s="134"/>
      <c r="AR44" s="106">
        <f>+AR43*AR38</f>
        <v>23.4</v>
      </c>
      <c r="AT44">
        <v>4</v>
      </c>
      <c r="AU44" s="101">
        <f>+AR44*AT44</f>
        <v>93.6</v>
      </c>
    </row>
    <row r="45" spans="1:47" x14ac:dyDescent="0.25">
      <c r="A45" s="4" t="s">
        <v>95</v>
      </c>
      <c r="B45" s="6">
        <f>(((B41)+(B42))+(B43))+(B44)</f>
        <v>33938.75</v>
      </c>
      <c r="C45" s="6">
        <f>(((C41)+(C42))+(C43))+(C44)</f>
        <v>37783.370000000003</v>
      </c>
      <c r="D45" s="6">
        <f t="shared" si="35"/>
        <v>-3844.6200000000026</v>
      </c>
      <c r="E45" s="5">
        <f t="shared" si="36"/>
        <v>0.89824570968656314</v>
      </c>
      <c r="M45" s="8">
        <f>+(2200*12)-AN16</f>
        <v>24600</v>
      </c>
      <c r="N45" s="122"/>
      <c r="O45" s="123">
        <v>1800</v>
      </c>
      <c r="P45" s="124">
        <f t="shared" ref="P45" si="46">+N45+O45</f>
        <v>1800</v>
      </c>
      <c r="Q45" s="115">
        <f t="shared" ref="Q45:Q47" si="47">+M45+P45</f>
        <v>26400</v>
      </c>
      <c r="R45" s="91"/>
      <c r="S45" s="91"/>
      <c r="T45" s="133">
        <f>+T42+T43+T44</f>
        <v>33938.75</v>
      </c>
      <c r="U45" s="133">
        <f t="shared" ref="U45:AA45" si="48">+U42+U43+U44</f>
        <v>2200</v>
      </c>
      <c r="V45" s="133">
        <f t="shared" si="48"/>
        <v>36138.75</v>
      </c>
      <c r="W45" s="133">
        <f t="shared" si="48"/>
        <v>40400</v>
      </c>
      <c r="X45" s="143">
        <f t="shared" si="48"/>
        <v>4261.25</v>
      </c>
      <c r="Y45" s="133">
        <f t="shared" si="48"/>
        <v>36900</v>
      </c>
      <c r="Z45" s="133">
        <f t="shared" si="48"/>
        <v>0</v>
      </c>
      <c r="AA45" s="133">
        <f t="shared" si="48"/>
        <v>36900</v>
      </c>
      <c r="AB45" s="132"/>
      <c r="AC45" s="132"/>
      <c r="AD45" s="132"/>
      <c r="AE45" s="132"/>
      <c r="AF45" s="132"/>
    </row>
    <row r="46" spans="1:47" x14ac:dyDescent="0.25">
      <c r="A46" s="4" t="s">
        <v>94</v>
      </c>
      <c r="B46" s="3"/>
      <c r="C46" s="3"/>
      <c r="D46" s="8">
        <f t="shared" si="35"/>
        <v>0</v>
      </c>
      <c r="E46" s="7" t="str">
        <f t="shared" si="36"/>
        <v/>
      </c>
      <c r="M46" s="8">
        <v>9500</v>
      </c>
      <c r="N46" s="122"/>
      <c r="O46" s="123"/>
      <c r="P46" s="124"/>
      <c r="Q46" s="115">
        <f t="shared" si="47"/>
        <v>9500</v>
      </c>
      <c r="R46" s="91"/>
      <c r="S46" s="91"/>
      <c r="T46" s="134"/>
      <c r="U46" s="134"/>
      <c r="V46" s="134">
        <f>+T46+U46</f>
        <v>0</v>
      </c>
      <c r="W46" s="134"/>
      <c r="X46" s="144"/>
      <c r="Y46" s="134"/>
      <c r="Z46" s="134"/>
      <c r="AA46" s="134"/>
      <c r="AB46" s="132"/>
      <c r="AC46" s="132"/>
      <c r="AD46" s="132"/>
      <c r="AE46" s="132"/>
      <c r="AF46" s="132"/>
    </row>
    <row r="47" spans="1:47" x14ac:dyDescent="0.25">
      <c r="A47" s="4" t="s">
        <v>93</v>
      </c>
      <c r="B47" s="8">
        <f>0</f>
        <v>0</v>
      </c>
      <c r="C47" s="3"/>
      <c r="D47" s="8">
        <f t="shared" si="35"/>
        <v>0</v>
      </c>
      <c r="E47" s="7" t="str">
        <f t="shared" si="36"/>
        <v/>
      </c>
      <c r="M47" s="115">
        <v>1000</v>
      </c>
      <c r="N47" s="122"/>
      <c r="O47" s="123"/>
      <c r="P47" s="124"/>
      <c r="Q47" s="115">
        <f t="shared" si="47"/>
        <v>1000</v>
      </c>
      <c r="R47" s="91"/>
      <c r="S47" s="91"/>
      <c r="T47" s="134"/>
      <c r="U47" s="134"/>
      <c r="V47" s="134"/>
      <c r="W47" s="134"/>
      <c r="X47" s="144"/>
      <c r="Y47" s="134"/>
      <c r="Z47" s="134"/>
      <c r="AA47" s="134"/>
      <c r="AB47" s="132"/>
      <c r="AC47" s="132"/>
      <c r="AD47" s="132"/>
      <c r="AE47" s="132"/>
      <c r="AF47" s="132"/>
    </row>
    <row r="48" spans="1:47" x14ac:dyDescent="0.25">
      <c r="A48" s="4" t="s">
        <v>92</v>
      </c>
      <c r="B48" s="8">
        <f>7535.06</f>
        <v>7535.06</v>
      </c>
      <c r="C48" s="8">
        <f>6500</f>
        <v>6500</v>
      </c>
      <c r="D48" s="8">
        <f t="shared" si="35"/>
        <v>1035.0600000000004</v>
      </c>
      <c r="E48" s="7">
        <f t="shared" si="36"/>
        <v>1.15924</v>
      </c>
      <c r="H48" s="81">
        <f>+B50</f>
        <v>0</v>
      </c>
      <c r="I48" s="81">
        <f>+C50</f>
        <v>0</v>
      </c>
      <c r="J48" s="82">
        <f>+I48-H48</f>
        <v>0</v>
      </c>
      <c r="M48" s="6">
        <f>(((M44)+(M45))+(M46))+(M47)</f>
        <v>35100</v>
      </c>
      <c r="N48" s="125">
        <f t="shared" ref="N48:Q48" si="49">(((N44)+(N45))+(N46))+(N47)</f>
        <v>0</v>
      </c>
      <c r="O48" s="6">
        <f t="shared" si="49"/>
        <v>1800</v>
      </c>
      <c r="P48" s="126">
        <f t="shared" si="49"/>
        <v>1800</v>
      </c>
      <c r="Q48" s="6">
        <f t="shared" si="49"/>
        <v>36900</v>
      </c>
      <c r="R48" s="91"/>
      <c r="S48" s="91"/>
      <c r="T48" s="135">
        <f>+B48</f>
        <v>7535.06</v>
      </c>
      <c r="U48" s="135">
        <v>0</v>
      </c>
      <c r="V48" s="135">
        <f t="shared" ref="V48" si="50">+T48+U48</f>
        <v>7535.06</v>
      </c>
      <c r="W48" s="135">
        <f>6500</f>
        <v>6500</v>
      </c>
      <c r="X48" s="142">
        <f>+W48-V48</f>
        <v>-1035.0600000000004</v>
      </c>
      <c r="Y48" s="132">
        <f>+M51+O51</f>
        <v>6500</v>
      </c>
      <c r="Z48" s="132">
        <f>+N51+P51</f>
        <v>0</v>
      </c>
      <c r="AA48" s="132">
        <f t="shared" ref="AA48" si="51">+Y48+Z48</f>
        <v>6500</v>
      </c>
      <c r="AB48" s="137"/>
      <c r="AC48" s="137"/>
      <c r="AD48" s="137"/>
      <c r="AE48" s="137"/>
      <c r="AF48" s="137"/>
    </row>
    <row r="49" spans="1:32" x14ac:dyDescent="0.25">
      <c r="A49" s="4" t="s">
        <v>91</v>
      </c>
      <c r="B49" s="6">
        <f>((B46)+(B47))+(B48)</f>
        <v>7535.06</v>
      </c>
      <c r="C49" s="6">
        <f>((C46)+(C47))+(C48)</f>
        <v>6500</v>
      </c>
      <c r="D49" s="6">
        <f t="shared" si="35"/>
        <v>1035.0600000000004</v>
      </c>
      <c r="E49" s="5">
        <f t="shared" si="36"/>
        <v>1.15924</v>
      </c>
      <c r="M49" s="3"/>
      <c r="N49" s="122"/>
      <c r="O49" s="123"/>
      <c r="P49" s="124"/>
      <c r="Q49" s="3"/>
      <c r="R49" s="91"/>
      <c r="S49" s="91"/>
      <c r="T49" s="133">
        <f t="shared" ref="T49:V49" si="52">((T46)+(T47))+(T48)</f>
        <v>7535.06</v>
      </c>
      <c r="U49" s="133">
        <f t="shared" si="52"/>
        <v>0</v>
      </c>
      <c r="V49" s="133">
        <f t="shared" si="52"/>
        <v>7535.06</v>
      </c>
      <c r="W49" s="133">
        <f>((W46)+(W47))+(W48)</f>
        <v>6500</v>
      </c>
      <c r="X49" s="143">
        <f>((X46)+(X47))+(X48)</f>
        <v>-1035.0600000000004</v>
      </c>
      <c r="Y49" s="133">
        <f>((Y46)+(Y47))+(Y48)</f>
        <v>6500</v>
      </c>
      <c r="Z49" s="133">
        <f>((Z46)+(Z47))+(Z48)</f>
        <v>0</v>
      </c>
      <c r="AA49" s="133">
        <f>((AA46)+(AA47))+(AA48)</f>
        <v>6500</v>
      </c>
      <c r="AB49" s="134"/>
      <c r="AC49" s="134"/>
      <c r="AD49" s="134"/>
      <c r="AE49" s="134"/>
      <c r="AF49" s="134"/>
    </row>
    <row r="50" spans="1:32" x14ac:dyDescent="0.25">
      <c r="A50" s="4" t="s">
        <v>90</v>
      </c>
      <c r="B50" s="3"/>
      <c r="C50" s="3"/>
      <c r="D50" s="8">
        <f t="shared" si="35"/>
        <v>0</v>
      </c>
      <c r="E50" s="7" t="str">
        <f t="shared" si="36"/>
        <v/>
      </c>
      <c r="M50" s="3"/>
      <c r="N50" s="122"/>
      <c r="O50" s="123"/>
      <c r="P50" s="124"/>
      <c r="Q50" s="3"/>
      <c r="R50" s="91"/>
      <c r="S50" s="91"/>
      <c r="T50" s="134"/>
      <c r="U50" s="134"/>
      <c r="V50" s="134"/>
      <c r="W50" s="134"/>
      <c r="X50" s="144"/>
      <c r="Y50" s="134"/>
      <c r="Z50" s="134"/>
      <c r="AA50" s="134"/>
      <c r="AB50" s="134"/>
      <c r="AC50" s="134"/>
      <c r="AD50" s="134"/>
      <c r="AE50" s="134"/>
      <c r="AF50" s="134"/>
    </row>
    <row r="51" spans="1:32" x14ac:dyDescent="0.25">
      <c r="A51" s="4" t="s">
        <v>89</v>
      </c>
      <c r="B51" s="8">
        <f>1828.5</f>
        <v>1828.5</v>
      </c>
      <c r="C51" s="8">
        <f>1500</f>
        <v>1500</v>
      </c>
      <c r="D51" s="8">
        <f t="shared" si="35"/>
        <v>328.5</v>
      </c>
      <c r="E51" s="7">
        <f t="shared" si="36"/>
        <v>1.2190000000000001</v>
      </c>
      <c r="M51" s="8">
        <f>6500</f>
        <v>6500</v>
      </c>
      <c r="N51" s="122"/>
      <c r="O51" s="123"/>
      <c r="P51" s="124"/>
      <c r="Q51" s="115">
        <f>+M51+P51</f>
        <v>6500</v>
      </c>
      <c r="R51" s="91"/>
      <c r="S51" s="91"/>
      <c r="T51" s="135">
        <f>+B51</f>
        <v>1828.5</v>
      </c>
      <c r="U51" s="135">
        <v>0</v>
      </c>
      <c r="V51" s="135">
        <f t="shared" ref="V51:V56" si="53">+T51+U51</f>
        <v>1828.5</v>
      </c>
      <c r="W51" s="135">
        <v>1500</v>
      </c>
      <c r="X51" s="142">
        <f t="shared" ref="X51:X56" si="54">+W51-V51</f>
        <v>-328.5</v>
      </c>
      <c r="Y51" s="132">
        <f t="shared" ref="Y51:Z53" si="55">+M54+O54</f>
        <v>1450</v>
      </c>
      <c r="Z51" s="132">
        <f t="shared" si="55"/>
        <v>0</v>
      </c>
      <c r="AA51" s="132">
        <f t="shared" ref="AA51:AA56" si="56">+Y51+Z51</f>
        <v>1450</v>
      </c>
      <c r="AB51" s="132"/>
      <c r="AC51" s="132"/>
      <c r="AD51" s="132"/>
      <c r="AE51" s="132"/>
      <c r="AF51" s="132"/>
    </row>
    <row r="52" spans="1:32" x14ac:dyDescent="0.25">
      <c r="A52" s="4" t="s">
        <v>88</v>
      </c>
      <c r="B52" s="8">
        <f>590.84</f>
        <v>590.84</v>
      </c>
      <c r="C52" s="8">
        <f>1100</f>
        <v>1100</v>
      </c>
      <c r="D52" s="8">
        <f t="shared" si="35"/>
        <v>-509.15999999999997</v>
      </c>
      <c r="E52" s="7">
        <f t="shared" si="36"/>
        <v>0.53712727272727279</v>
      </c>
      <c r="H52" s="81">
        <f>+B54</f>
        <v>1503.93</v>
      </c>
      <c r="I52" s="81">
        <f>+C54</f>
        <v>2291.63</v>
      </c>
      <c r="J52" s="82">
        <f>+I52-H52</f>
        <v>787.7</v>
      </c>
      <c r="M52" s="6">
        <f>((M49)+(M50))+(M51)</f>
        <v>6500</v>
      </c>
      <c r="N52" s="125">
        <f>((N49)+(N50))+(N51)</f>
        <v>0</v>
      </c>
      <c r="O52" s="6">
        <f>((O49)+(O50))+(O51)</f>
        <v>0</v>
      </c>
      <c r="P52" s="126">
        <f>((P49)+(P50))+(P51)</f>
        <v>0</v>
      </c>
      <c r="Q52" s="6">
        <f>((Q49)+(Q50))+(Q51)</f>
        <v>6500</v>
      </c>
      <c r="R52" s="91"/>
      <c r="S52" s="91"/>
      <c r="T52" s="135">
        <f t="shared" ref="T52:T56" si="57">+B52</f>
        <v>590.84</v>
      </c>
      <c r="U52" s="135">
        <v>33.333333333333336</v>
      </c>
      <c r="V52" s="135">
        <f t="shared" si="53"/>
        <v>624.1733333333334</v>
      </c>
      <c r="W52" s="135">
        <v>1200</v>
      </c>
      <c r="X52" s="142">
        <f t="shared" si="54"/>
        <v>575.8266666666666</v>
      </c>
      <c r="Y52" s="132">
        <f t="shared" si="55"/>
        <v>500</v>
      </c>
      <c r="Z52" s="132">
        <f t="shared" si="55"/>
        <v>0</v>
      </c>
      <c r="AA52" s="132">
        <f t="shared" si="56"/>
        <v>500</v>
      </c>
      <c r="AB52" s="137"/>
      <c r="AC52" s="137"/>
      <c r="AD52" s="137"/>
      <c r="AE52" s="137"/>
      <c r="AF52" s="137"/>
    </row>
    <row r="53" spans="1:32" x14ac:dyDescent="0.25">
      <c r="A53" s="4" t="s">
        <v>87</v>
      </c>
      <c r="B53" s="8">
        <f>546.33</f>
        <v>546.33000000000004</v>
      </c>
      <c r="C53" s="8">
        <f>2750</f>
        <v>2750</v>
      </c>
      <c r="D53" s="8">
        <f t="shared" si="35"/>
        <v>-2203.67</v>
      </c>
      <c r="E53" s="7">
        <f t="shared" si="36"/>
        <v>0.19866545454545456</v>
      </c>
      <c r="M53" s="3"/>
      <c r="N53" s="122"/>
      <c r="O53" s="123"/>
      <c r="P53" s="124"/>
      <c r="Q53" s="3"/>
      <c r="R53" s="91"/>
      <c r="S53" s="91"/>
      <c r="T53" s="135">
        <f t="shared" si="57"/>
        <v>546.33000000000004</v>
      </c>
      <c r="U53" s="135">
        <v>16.666666666666668</v>
      </c>
      <c r="V53" s="135">
        <f t="shared" si="53"/>
        <v>562.99666666666667</v>
      </c>
      <c r="W53" s="135">
        <v>3000</v>
      </c>
      <c r="X53" s="142">
        <f t="shared" si="54"/>
        <v>2437.0033333333331</v>
      </c>
      <c r="Y53" s="132">
        <f t="shared" si="55"/>
        <v>100</v>
      </c>
      <c r="Z53" s="132">
        <f t="shared" si="55"/>
        <v>0</v>
      </c>
      <c r="AA53" s="132">
        <f t="shared" si="56"/>
        <v>100</v>
      </c>
      <c r="AB53" s="134"/>
      <c r="AC53" s="134"/>
      <c r="AD53" s="134"/>
      <c r="AE53" s="134"/>
      <c r="AF53" s="134"/>
    </row>
    <row r="54" spans="1:32" x14ac:dyDescent="0.25">
      <c r="A54" s="4" t="s">
        <v>86</v>
      </c>
      <c r="B54" s="8">
        <f>1503.93</f>
        <v>1503.93</v>
      </c>
      <c r="C54" s="8">
        <f>2291.63</f>
        <v>2291.63</v>
      </c>
      <c r="D54" s="8">
        <f t="shared" si="35"/>
        <v>-787.7</v>
      </c>
      <c r="E54" s="7">
        <f t="shared" si="36"/>
        <v>0.65627086397018719</v>
      </c>
      <c r="M54" s="8">
        <f>1450</f>
        <v>1450</v>
      </c>
      <c r="N54" s="122"/>
      <c r="O54" s="123"/>
      <c r="P54" s="124"/>
      <c r="Q54" s="115">
        <f>+M54+P54</f>
        <v>1450</v>
      </c>
      <c r="R54" s="91"/>
      <c r="S54" s="91"/>
      <c r="T54" s="135">
        <f t="shared" si="57"/>
        <v>1503.93</v>
      </c>
      <c r="U54" s="135">
        <v>16.666666666666668</v>
      </c>
      <c r="V54" s="135">
        <f t="shared" si="53"/>
        <v>1520.5966666666668</v>
      </c>
      <c r="W54" s="135">
        <v>2500</v>
      </c>
      <c r="X54" s="142">
        <f t="shared" si="54"/>
        <v>979.40333333333319</v>
      </c>
      <c r="Y54" s="132">
        <f>+M57+O57</f>
        <v>2000</v>
      </c>
      <c r="Z54" s="132"/>
      <c r="AA54" s="132">
        <f t="shared" si="56"/>
        <v>2000</v>
      </c>
      <c r="AB54" s="132"/>
      <c r="AC54" s="132"/>
      <c r="AD54" s="132"/>
      <c r="AE54" s="132"/>
      <c r="AF54" s="132"/>
    </row>
    <row r="55" spans="1:32" x14ac:dyDescent="0.25">
      <c r="A55" s="4" t="s">
        <v>85</v>
      </c>
      <c r="B55" s="8">
        <f>140</f>
        <v>140</v>
      </c>
      <c r="C55" s="8">
        <f>150</f>
        <v>150</v>
      </c>
      <c r="D55" s="8">
        <f t="shared" si="35"/>
        <v>-10</v>
      </c>
      <c r="E55" s="7">
        <f t="shared" si="36"/>
        <v>0.93333333333333335</v>
      </c>
      <c r="M55" s="8">
        <v>500</v>
      </c>
      <c r="N55" s="122"/>
      <c r="O55" s="123"/>
      <c r="P55" s="124"/>
      <c r="Q55" s="115">
        <f t="shared" ref="Q55:Q59" si="58">+M55+P55</f>
        <v>500</v>
      </c>
      <c r="R55" s="91"/>
      <c r="S55" s="91"/>
      <c r="T55" s="135">
        <f t="shared" si="57"/>
        <v>140</v>
      </c>
      <c r="U55" s="135">
        <v>0</v>
      </c>
      <c r="V55" s="135">
        <f t="shared" si="53"/>
        <v>140</v>
      </c>
      <c r="W55" s="135">
        <f>150</f>
        <v>150</v>
      </c>
      <c r="X55" s="142">
        <f t="shared" si="54"/>
        <v>10</v>
      </c>
      <c r="Y55" s="132">
        <f>+M58+O58</f>
        <v>150</v>
      </c>
      <c r="Z55" s="132">
        <f>+N58+P58</f>
        <v>0</v>
      </c>
      <c r="AA55" s="132">
        <f t="shared" si="56"/>
        <v>150</v>
      </c>
      <c r="AB55" s="132"/>
      <c r="AC55" s="132"/>
      <c r="AD55" s="132"/>
      <c r="AE55" s="132"/>
      <c r="AF55" s="132"/>
    </row>
    <row r="56" spans="1:32" x14ac:dyDescent="0.25">
      <c r="A56" s="4" t="s">
        <v>84</v>
      </c>
      <c r="B56" s="8">
        <f>2351.31</f>
        <v>2351.31</v>
      </c>
      <c r="C56" s="8">
        <f>916.63</f>
        <v>916.63</v>
      </c>
      <c r="D56" s="8">
        <f t="shared" si="35"/>
        <v>1434.6799999999998</v>
      </c>
      <c r="E56" s="7">
        <f t="shared" si="36"/>
        <v>2.5651680612679053</v>
      </c>
      <c r="M56" s="8">
        <v>100</v>
      </c>
      <c r="N56" s="122"/>
      <c r="O56" s="123"/>
      <c r="P56" s="124"/>
      <c r="Q56" s="115">
        <f t="shared" si="58"/>
        <v>100</v>
      </c>
      <c r="R56" s="91"/>
      <c r="S56" s="91"/>
      <c r="T56" s="135">
        <f t="shared" si="57"/>
        <v>2351.31</v>
      </c>
      <c r="U56" s="135">
        <f>(90*3)/3</f>
        <v>90</v>
      </c>
      <c r="V56" s="135">
        <f t="shared" si="53"/>
        <v>2441.31</v>
      </c>
      <c r="W56" s="135">
        <v>1000</v>
      </c>
      <c r="X56" s="142">
        <f t="shared" si="54"/>
        <v>-1441.31</v>
      </c>
      <c r="Y56" s="132">
        <f>+M59+O59</f>
        <v>540</v>
      </c>
      <c r="Z56" s="132">
        <f>+N59+P59</f>
        <v>0</v>
      </c>
      <c r="AA56" s="132">
        <f t="shared" si="56"/>
        <v>540</v>
      </c>
      <c r="AB56" s="132"/>
      <c r="AC56" s="132"/>
      <c r="AD56" s="132"/>
      <c r="AE56" s="132"/>
      <c r="AF56" s="132"/>
    </row>
    <row r="57" spans="1:32" x14ac:dyDescent="0.25">
      <c r="A57" s="4" t="s">
        <v>83</v>
      </c>
      <c r="B57" s="6">
        <f>((((((B50)+(B51))+(B52))+(B53))+(B54))+(B55))+(B56)</f>
        <v>6960.91</v>
      </c>
      <c r="C57" s="6">
        <f>((((((C50)+(C51))+(C52))+(C53))+(C54))+(C55))+(C56)</f>
        <v>8708.26</v>
      </c>
      <c r="D57" s="6">
        <f t="shared" si="35"/>
        <v>-1747.3500000000004</v>
      </c>
      <c r="E57" s="5">
        <f t="shared" si="36"/>
        <v>0.79934567870045214</v>
      </c>
      <c r="M57" s="8">
        <v>500</v>
      </c>
      <c r="N57" s="122"/>
      <c r="O57" s="123">
        <v>1500</v>
      </c>
      <c r="P57" s="124">
        <f t="shared" ref="P57" si="59">+N57+O57</f>
        <v>1500</v>
      </c>
      <c r="Q57" s="115">
        <f t="shared" si="58"/>
        <v>2000</v>
      </c>
      <c r="R57" s="91"/>
      <c r="S57" s="91"/>
      <c r="T57" s="133">
        <f t="shared" ref="T57:V57" si="60">((((((T50)+(T51))+(T52))+(T53))+(T54))+(T55))+(T56)</f>
        <v>6960.91</v>
      </c>
      <c r="U57" s="133">
        <f t="shared" si="60"/>
        <v>156.66666666666669</v>
      </c>
      <c r="V57" s="133">
        <f t="shared" si="60"/>
        <v>7117.5766666666659</v>
      </c>
      <c r="W57" s="133">
        <f>((((((W50)+(W51))+(W52))+(W53))+(W54))+(W55))+(W56)</f>
        <v>9350</v>
      </c>
      <c r="X57" s="143">
        <f>((((((X50)+(X51))+(X52))+(X53))+(X54))+(X55))+(X56)</f>
        <v>2232.4233333333332</v>
      </c>
      <c r="Y57" s="133">
        <f>((((((Y50)+(Y51))+(Y52))+(Y53))+(Y54))+(Y55))+(Y56)</f>
        <v>4740</v>
      </c>
      <c r="Z57" s="133">
        <f>((((((Z50)+(Z51))+(Z52))+(Z53))+(Z54))+(Z55))+(Z56)</f>
        <v>0</v>
      </c>
      <c r="AA57" s="133">
        <f>((((((AA50)+(AA51))+(AA52))+(AA53))+(AA54))+(AA55))+(AA56)</f>
        <v>4740</v>
      </c>
      <c r="AB57" s="132"/>
      <c r="AC57" s="132"/>
      <c r="AD57" s="132"/>
      <c r="AE57" s="132"/>
      <c r="AF57" s="132"/>
    </row>
    <row r="58" spans="1:32" x14ac:dyDescent="0.25">
      <c r="A58" s="4" t="s">
        <v>82</v>
      </c>
      <c r="B58" s="3"/>
      <c r="C58" s="3"/>
      <c r="D58" s="8">
        <f t="shared" si="35"/>
        <v>0</v>
      </c>
      <c r="E58" s="7" t="str">
        <f t="shared" si="36"/>
        <v/>
      </c>
      <c r="M58" s="8">
        <f>150</f>
        <v>150</v>
      </c>
      <c r="N58" s="122"/>
      <c r="O58" s="123"/>
      <c r="P58" s="124"/>
      <c r="Q58" s="115">
        <f t="shared" si="58"/>
        <v>150</v>
      </c>
      <c r="R58" s="91"/>
      <c r="S58" s="91"/>
      <c r="T58" s="134"/>
      <c r="U58" s="134"/>
      <c r="V58" s="134"/>
      <c r="W58" s="134"/>
      <c r="X58" s="144"/>
      <c r="Y58" s="134"/>
      <c r="Z58" s="134"/>
      <c r="AA58" s="134"/>
      <c r="AB58" s="132"/>
      <c r="AC58" s="132"/>
      <c r="AD58" s="132"/>
      <c r="AE58" s="132"/>
      <c r="AF58" s="132"/>
    </row>
    <row r="59" spans="1:32" x14ac:dyDescent="0.25">
      <c r="A59" s="4" t="s">
        <v>81</v>
      </c>
      <c r="B59" s="8">
        <f>2749.25</f>
        <v>2749.25</v>
      </c>
      <c r="C59" s="8">
        <f>1833.37</f>
        <v>1833.37</v>
      </c>
      <c r="D59" s="8">
        <f t="shared" si="35"/>
        <v>915.88000000000011</v>
      </c>
      <c r="E59" s="7">
        <f t="shared" si="36"/>
        <v>1.4995609178725517</v>
      </c>
      <c r="H59" s="81"/>
      <c r="M59" s="8">
        <f>90*12/2</f>
        <v>540</v>
      </c>
      <c r="N59" s="122"/>
      <c r="O59" s="123"/>
      <c r="P59" s="124"/>
      <c r="Q59" s="115">
        <f t="shared" si="58"/>
        <v>540</v>
      </c>
      <c r="R59" s="91"/>
      <c r="S59" s="91"/>
      <c r="T59" s="135">
        <f>+B59</f>
        <v>2749.25</v>
      </c>
      <c r="U59" s="135">
        <v>83.333333333333329</v>
      </c>
      <c r="V59" s="135">
        <f t="shared" ref="V59" si="61">+T59+U59</f>
        <v>2832.5833333333335</v>
      </c>
      <c r="W59" s="135">
        <v>2000</v>
      </c>
      <c r="X59" s="142">
        <f>+W59-V59</f>
        <v>-832.58333333333348</v>
      </c>
      <c r="Y59" s="132">
        <f>+M62+O62</f>
        <v>3500</v>
      </c>
      <c r="Z59" s="132"/>
      <c r="AA59" s="132">
        <f t="shared" ref="AA59:AA61" si="62">+Y59+Z59</f>
        <v>3500</v>
      </c>
      <c r="AB59" s="132"/>
      <c r="AC59" s="132"/>
      <c r="AD59" s="132"/>
      <c r="AE59" s="132"/>
      <c r="AF59" s="132"/>
    </row>
    <row r="60" spans="1:32" x14ac:dyDescent="0.25">
      <c r="A60" s="4" t="s">
        <v>80</v>
      </c>
      <c r="B60" s="3"/>
      <c r="C60" s="8">
        <f>458.37</f>
        <v>458.37</v>
      </c>
      <c r="D60" s="8">
        <f t="shared" si="35"/>
        <v>-458.37</v>
      </c>
      <c r="E60" s="7">
        <f t="shared" si="36"/>
        <v>0</v>
      </c>
      <c r="H60" s="81">
        <f>+B62</f>
        <v>2807.54</v>
      </c>
      <c r="I60" s="81">
        <f>+C62</f>
        <v>2291.7399999999998</v>
      </c>
      <c r="J60" s="82">
        <f>+I60-H60</f>
        <v>-515.80000000000018</v>
      </c>
      <c r="M60" s="6">
        <f>((((((M53)+(M54))+(M55))+(M56))+(M57))+(M58))+(M59)</f>
        <v>3240</v>
      </c>
      <c r="N60" s="125">
        <f t="shared" ref="N60:Q60" si="63">((((((N53)+(N54))+(N55))+(N56))+(N57))+(N58))+(N59)</f>
        <v>0</v>
      </c>
      <c r="O60" s="6">
        <f t="shared" si="63"/>
        <v>1500</v>
      </c>
      <c r="P60" s="126">
        <f t="shared" si="63"/>
        <v>1500</v>
      </c>
      <c r="Q60" s="6">
        <f t="shared" si="63"/>
        <v>4740</v>
      </c>
      <c r="R60" s="91"/>
      <c r="S60" s="91"/>
      <c r="T60" s="135"/>
      <c r="U60" s="135"/>
      <c r="V60" s="135">
        <f t="shared" ref="V60" si="64">+T60+U60</f>
        <v>0</v>
      </c>
      <c r="W60" s="135">
        <v>500</v>
      </c>
      <c r="X60" s="142">
        <f>+W60-V60</f>
        <v>500</v>
      </c>
      <c r="Y60" s="132">
        <f>+M63+O63</f>
        <v>150</v>
      </c>
      <c r="Z60" s="132">
        <f>+N63+P63</f>
        <v>0</v>
      </c>
      <c r="AA60" s="132">
        <f t="shared" si="62"/>
        <v>150</v>
      </c>
      <c r="AB60" s="137"/>
      <c r="AC60" s="137"/>
      <c r="AD60" s="137"/>
      <c r="AE60" s="137"/>
      <c r="AF60" s="137"/>
    </row>
    <row r="61" spans="1:32" x14ac:dyDescent="0.25">
      <c r="A61" s="4" t="s">
        <v>79</v>
      </c>
      <c r="B61" s="8">
        <f>58.29</f>
        <v>58.29</v>
      </c>
      <c r="C61" s="3"/>
      <c r="D61" s="8">
        <f t="shared" si="35"/>
        <v>58.29</v>
      </c>
      <c r="E61" s="7" t="str">
        <f t="shared" si="36"/>
        <v/>
      </c>
      <c r="M61" s="3"/>
      <c r="N61" s="122"/>
      <c r="O61" s="123"/>
      <c r="P61" s="124"/>
      <c r="Q61" s="3"/>
      <c r="R61" s="91"/>
      <c r="S61" s="91"/>
      <c r="T61" s="135">
        <f>+B61</f>
        <v>58.29</v>
      </c>
      <c r="U61" s="134">
        <v>0</v>
      </c>
      <c r="V61" s="134">
        <f>+T61+U61</f>
        <v>58.29</v>
      </c>
      <c r="W61" s="134"/>
      <c r="X61" s="142">
        <f>+W61-V61</f>
        <v>-58.29</v>
      </c>
      <c r="Y61" s="132">
        <f>+M64+O64</f>
        <v>150</v>
      </c>
      <c r="Z61" s="132">
        <f>+N64+P64</f>
        <v>0</v>
      </c>
      <c r="AA61" s="132">
        <f t="shared" si="62"/>
        <v>150</v>
      </c>
      <c r="AB61" s="134"/>
      <c r="AC61" s="134"/>
      <c r="AD61" s="134"/>
      <c r="AE61" s="134"/>
      <c r="AF61" s="134"/>
    </row>
    <row r="62" spans="1:32" x14ac:dyDescent="0.25">
      <c r="A62" s="4" t="s">
        <v>78</v>
      </c>
      <c r="B62" s="6">
        <f>(((B58)+(B59))+(B60))+(B61)</f>
        <v>2807.54</v>
      </c>
      <c r="C62" s="6">
        <f>(((C58)+(C59))+(C60))+(C61)</f>
        <v>2291.7399999999998</v>
      </c>
      <c r="D62" s="6">
        <f t="shared" si="35"/>
        <v>515.80000000000018</v>
      </c>
      <c r="E62" s="5">
        <f t="shared" si="36"/>
        <v>1.2250691614231981</v>
      </c>
      <c r="M62" s="8">
        <v>500</v>
      </c>
      <c r="N62" s="122"/>
      <c r="O62" s="123">
        <v>3000</v>
      </c>
      <c r="P62" s="124">
        <f t="shared" ref="P62" si="65">+N62+O62</f>
        <v>3000</v>
      </c>
      <c r="Q62" s="115">
        <f>+M62+P62</f>
        <v>3500</v>
      </c>
      <c r="R62" s="91"/>
      <c r="S62" s="91"/>
      <c r="T62" s="133">
        <f t="shared" ref="T62:AA62" si="66">(((T58)+(T59))+(T60))+(T61)</f>
        <v>2807.54</v>
      </c>
      <c r="U62" s="133">
        <f t="shared" si="66"/>
        <v>83.333333333333329</v>
      </c>
      <c r="V62" s="133">
        <f t="shared" si="66"/>
        <v>2890.8733333333334</v>
      </c>
      <c r="W62" s="133">
        <f t="shared" si="66"/>
        <v>2500</v>
      </c>
      <c r="X62" s="143">
        <f t="shared" ref="X62" si="67">(((X58)+(X59))+(X60))+(X61)</f>
        <v>-390.87333333333351</v>
      </c>
      <c r="Y62" s="133">
        <f t="shared" si="66"/>
        <v>3800</v>
      </c>
      <c r="Z62" s="133">
        <f t="shared" si="66"/>
        <v>0</v>
      </c>
      <c r="AA62" s="133">
        <f t="shared" si="66"/>
        <v>3800</v>
      </c>
      <c r="AB62" s="132"/>
      <c r="AC62" s="132"/>
      <c r="AD62" s="132"/>
      <c r="AE62" s="132"/>
      <c r="AF62" s="132"/>
    </row>
    <row r="63" spans="1:32" x14ac:dyDescent="0.25">
      <c r="A63" s="4" t="s">
        <v>77</v>
      </c>
      <c r="B63" s="6">
        <f>((((((((((((((((B20)+(B23))+(B24))+(B25))+(B26))+(B27))+(B29))+(B30))+(B31))+(B32))+(B33))+(B34))+(B40))+(B45))+(B49))+(B57))+(B62)+B28</f>
        <v>213475.24</v>
      </c>
      <c r="C63" s="6">
        <f t="shared" ref="C63:D63" si="68">((((((((((((((((C20)+(C23))+(C24))+(C25))+(C26))+(C27))+(C29))+(C30))+(C31))+(C32))+(C33))+(C34))+(C40))+(C45))+(C49))+(C57))+(C62)+C28</f>
        <v>217752.63</v>
      </c>
      <c r="D63" s="6">
        <f t="shared" si="68"/>
        <v>-4277.3900000000076</v>
      </c>
      <c r="E63" s="5">
        <f t="shared" si="36"/>
        <v>0.98035665516416493</v>
      </c>
      <c r="M63" s="8">
        <v>150</v>
      </c>
      <c r="N63" s="122"/>
      <c r="O63" s="123"/>
      <c r="P63" s="124"/>
      <c r="Q63" s="115">
        <f t="shared" ref="Q63:Q64" si="69">+M63+P63</f>
        <v>150</v>
      </c>
      <c r="R63" s="91"/>
      <c r="S63" s="91"/>
      <c r="T63" s="133">
        <f>((((((((((((((((T20)+(T23))+(T24))+(T25))+(T27))+(T28))+(T29))+(T30))+(T31))+(T32))+(T33))+(T34))+(T40))+(T45))+(T49))+(T57))+(T62)</f>
        <v>213475.24</v>
      </c>
      <c r="U63" s="133">
        <f>((((((((((((((((U20)+(U23))+(U24))+(U25))+(U27))+(U28))+(U29))+(U30))+(U31))+(U32))+(U33))+(U34))+(U40))+(U45))+(U49))+(U57))+(U62)</f>
        <v>20064.713483146068</v>
      </c>
      <c r="V63" s="133">
        <f>((((((((((((((((V20)+(V23))+(V24))+(V25))+(V27))+(V28))+(V29))+(V30))+(V31))+(V32))+(V33))+(V34))+(V40))+(V45))+(V49))+(V57))+(V62)</f>
        <v>233539.95348314603</v>
      </c>
      <c r="W63" s="133">
        <f>((((((((((((((((W20)+(W23))+(W24))+(W25))+(W27))+(W28))+(W29))+(W30))+(W31))+(W32))+(W33))+(W34))+(W40))+(W45))+(W49))+(W57))+(W62)</f>
        <v>233211</v>
      </c>
      <c r="X63" s="143">
        <f>((((((((((((((((X20)+(X23))+(X24))+(X25))+(X27))+(X28))+(X29))+(X30))+(X31))+(X32))+(X33))+(X34))+(X40))+(X45))+(X49))+(X57))+(X62)</f>
        <v>-328.95348314606287</v>
      </c>
      <c r="Y63" s="133">
        <f>((((((((((((((((Y20)+(Y23))+(Y24))+(Y25))+(Y27))+(Y28))+(Y29))+(Y30))+(Y31))+(Y32))+(Y33))+(Y34))+(Y40))+(Y45))+(Y49))+(Y57))+(Y62)+Y26+Y21+Y22</f>
        <v>233415</v>
      </c>
      <c r="Z63" s="133">
        <f t="shared" ref="Z63:AA63" si="70">((((((((((((((((Z20)+(Z23))+(Z24))+(Z25))+(Z27))+(Z28))+(Z29))+(Z30))+(Z31))+(Z32))+(Z33))+(Z34))+(Z40))+(Z45))+(Z49))+(Z57))+(Z62)+Z26+Z21+Z22</f>
        <v>44400</v>
      </c>
      <c r="AA63" s="133">
        <f t="shared" si="70"/>
        <v>277815</v>
      </c>
      <c r="AB63" s="132"/>
      <c r="AC63" s="132"/>
      <c r="AD63" s="132"/>
      <c r="AE63" s="132"/>
      <c r="AF63" s="132"/>
    </row>
    <row r="64" spans="1:32" x14ac:dyDescent="0.25">
      <c r="A64" s="4" t="s">
        <v>76</v>
      </c>
      <c r="B64" s="161">
        <f>(B18)-(B63)</f>
        <v>-31530.860000000015</v>
      </c>
      <c r="C64" s="161">
        <f>(C18)-(C63)</f>
        <v>-34752.630000000005</v>
      </c>
      <c r="D64" s="161">
        <f>(B64)-(C64)</f>
        <v>3221.7699999999895</v>
      </c>
      <c r="E64" s="162">
        <f t="shared" si="36"/>
        <v>0.90729421053888615</v>
      </c>
      <c r="M64" s="3">
        <v>150</v>
      </c>
      <c r="N64" s="122"/>
      <c r="O64" s="123"/>
      <c r="P64" s="124"/>
      <c r="Q64" s="115">
        <f t="shared" si="69"/>
        <v>150</v>
      </c>
      <c r="R64" s="91"/>
      <c r="S64" s="91"/>
      <c r="T64" s="133">
        <f>(T18)-(T63)</f>
        <v>-4.0000000008149073E-2</v>
      </c>
      <c r="U64" s="133">
        <f t="shared" ref="U64:X64" si="71">(U18)-(U63)</f>
        <v>-0.3801498127359082</v>
      </c>
      <c r="V64" s="133">
        <f t="shared" si="71"/>
        <v>-0.42014981270767748</v>
      </c>
      <c r="W64" s="133">
        <f t="shared" si="71"/>
        <v>0</v>
      </c>
      <c r="X64" s="133">
        <f t="shared" si="71"/>
        <v>0.42014981273058538</v>
      </c>
      <c r="Y64" s="133">
        <f>(Y18)-(Y63)</f>
        <v>0</v>
      </c>
      <c r="Z64" s="133">
        <f t="shared" ref="Z64:AA64" si="72">(Z18)-(Z63)</f>
        <v>0</v>
      </c>
      <c r="AA64" s="133">
        <f t="shared" si="72"/>
        <v>0</v>
      </c>
      <c r="AB64" s="132"/>
      <c r="AC64" s="132"/>
      <c r="AD64" s="132"/>
      <c r="AE64" s="132"/>
      <c r="AF64" s="132"/>
    </row>
    <row r="65" spans="1:35" x14ac:dyDescent="0.25">
      <c r="A65" s="4" t="s">
        <v>75</v>
      </c>
      <c r="B65" s="3"/>
      <c r="C65" s="3"/>
      <c r="D65" s="3"/>
      <c r="E65" s="3"/>
      <c r="H65" s="81">
        <f>+B67</f>
        <v>0</v>
      </c>
      <c r="I65" s="81">
        <f>+C67</f>
        <v>0</v>
      </c>
      <c r="J65" s="82">
        <f>+I65-H65</f>
        <v>0</v>
      </c>
      <c r="K65" s="91">
        <f>SUM(J34:J65)</f>
        <v>4565.9700000000139</v>
      </c>
      <c r="M65" s="6">
        <f>(((M61)+(M62))+(M63))+(M64)</f>
        <v>800</v>
      </c>
      <c r="N65" s="6">
        <f t="shared" ref="N65:Q65" si="73">(((N61)+(N62))+(N63))+(N64)</f>
        <v>0</v>
      </c>
      <c r="O65" s="6">
        <f t="shared" si="73"/>
        <v>3000</v>
      </c>
      <c r="P65" s="6">
        <f t="shared" si="73"/>
        <v>3000</v>
      </c>
      <c r="Q65" s="6">
        <f t="shared" si="73"/>
        <v>3800</v>
      </c>
      <c r="R65" s="91"/>
      <c r="S65" s="91"/>
      <c r="W65" s="76"/>
      <c r="AB65" s="137"/>
      <c r="AC65" s="137"/>
      <c r="AD65" s="137"/>
      <c r="AE65" s="137"/>
      <c r="AF65" s="137"/>
    </row>
    <row r="66" spans="1:35" x14ac:dyDescent="0.25">
      <c r="A66" s="4" t="s">
        <v>74</v>
      </c>
      <c r="B66" s="8">
        <f>1635997.55</f>
        <v>1635997.55</v>
      </c>
      <c r="C66" s="3"/>
      <c r="D66" s="8">
        <f t="shared" ref="D66:D74" si="74">(B66)-(C66)</f>
        <v>1635997.55</v>
      </c>
      <c r="E66" s="7" t="str">
        <f t="shared" ref="E66:E74" si="75">IF(C66=0,"",(B66)/(C66))</f>
        <v/>
      </c>
      <c r="H66" s="87"/>
      <c r="J66" s="80"/>
      <c r="M66" s="6">
        <f>((((((((((((((((M23)+(M26))+(M27))+(M28))+(M30))+(M31))+(M32))+(M33))+(M34))+(M35))+(M36))+(M37))+(M43))+(M48))+(M52))+(M60))+(M65)</f>
        <v>157784.96000000002</v>
      </c>
      <c r="N66" s="125">
        <f>((((((((((((((((N23)+(N26))+(N27))+(N28))+(N30))+(N31))+(N32))+(N33))+(N34))+(N35))+(N36))+(N37))+(N43))+(N48))+(N52))+(N60))+(N65)</f>
        <v>26400</v>
      </c>
      <c r="O66" s="6">
        <f>((((((((((((((((O23)+(O26))+(O27))+(O28))+(O30))+(O31))+(O32))+(O33))+(O34))+(O35))+(O36))+(O37))+(O43))+(O48))+(O52))+(O60))+(O65)+O29</f>
        <v>72630.039999999994</v>
      </c>
      <c r="P66" s="6">
        <f>((((((((((((((((P23)+(P26))+(P27))+(P28))+(P30))+(P31))+(P32))+(P33))+(P34))+(P35))+(P36))+(P37))+(P43))+(P48))+(P52))+(P60))+(P65)+P29</f>
        <v>99030.04</v>
      </c>
      <c r="Q66" s="6">
        <f>((((((((((((((((Q23)+(Q26))+(Q27))+(Q28))+(Q30))+(Q31))+(Q32))+(Q33))+(Q34))+(Q35))+(Q36))+(Q37))+(Q43))+(Q48))+(Q52))+(Q60))+(Q65)+Q29</f>
        <v>256815</v>
      </c>
      <c r="R66" s="91"/>
      <c r="S66" s="91"/>
      <c r="V66" s="76"/>
      <c r="X66" s="76"/>
      <c r="AB66" s="137"/>
      <c r="AC66" s="137"/>
      <c r="AD66" s="137"/>
      <c r="AE66" s="137"/>
      <c r="AF66" s="137"/>
    </row>
    <row r="67" spans="1:35" x14ac:dyDescent="0.25">
      <c r="A67" s="4" t="s">
        <v>73</v>
      </c>
      <c r="B67" s="3"/>
      <c r="C67" s="3"/>
      <c r="D67" s="8">
        <f t="shared" si="74"/>
        <v>0</v>
      </c>
      <c r="E67" s="7" t="str">
        <f t="shared" si="75"/>
        <v/>
      </c>
      <c r="H67" s="84">
        <f>SUM(H35:H66)</f>
        <v>197886.77</v>
      </c>
      <c r="I67" s="84">
        <f>SUM(I35:I66)</f>
        <v>202452.74</v>
      </c>
      <c r="J67" s="85">
        <f>+I67-H67</f>
        <v>4565.9700000000012</v>
      </c>
      <c r="K67" s="80"/>
      <c r="M67" s="6" t="e">
        <f>(M19)-(M66)</f>
        <v>#REF!</v>
      </c>
      <c r="N67" s="125" t="e">
        <f>(N19)-(N66)</f>
        <v>#REF!</v>
      </c>
      <c r="O67" s="6" t="e">
        <f>(O19)-(O66)</f>
        <v>#REF!</v>
      </c>
      <c r="P67" s="126" t="e">
        <f>(P19)-(P66)</f>
        <v>#REF!</v>
      </c>
      <c r="Q67" s="6" t="e">
        <f>(Q19)-(Q66)</f>
        <v>#REF!</v>
      </c>
      <c r="R67" s="91"/>
      <c r="S67" s="91"/>
      <c r="W67" s="81"/>
      <c r="AB67" s="137"/>
      <c r="AC67" s="137"/>
      <c r="AD67" s="137"/>
      <c r="AE67" s="137"/>
      <c r="AF67" s="137"/>
    </row>
    <row r="68" spans="1:35" s="95" customFormat="1" ht="15.75" thickBot="1" x14ac:dyDescent="0.3">
      <c r="A68" s="4" t="s">
        <v>72</v>
      </c>
      <c r="B68" s="8">
        <f>212762.13</f>
        <v>212762.13</v>
      </c>
      <c r="C68" s="3"/>
      <c r="D68" s="8">
        <f t="shared" si="74"/>
        <v>212762.13</v>
      </c>
      <c r="E68" s="7" t="str">
        <f t="shared" si="75"/>
        <v/>
      </c>
      <c r="F68"/>
      <c r="G68"/>
      <c r="H68" s="91">
        <f>+H19-H67</f>
        <v>-195595.9</v>
      </c>
      <c r="I68" s="91">
        <f>+I19-I67</f>
        <v>-200161.11</v>
      </c>
      <c r="J68" s="91">
        <f>+H68-I68</f>
        <v>4565.2099999999919</v>
      </c>
      <c r="K68" s="82"/>
      <c r="L68"/>
      <c r="M68"/>
      <c r="N68" s="127"/>
      <c r="O68" s="128"/>
      <c r="P68" s="129"/>
      <c r="Q68" s="91"/>
      <c r="R68" s="91"/>
      <c r="S68" s="91"/>
      <c r="T68" s="93"/>
      <c r="U68" s="91"/>
      <c r="V68" s="91"/>
      <c r="W68" s="134"/>
      <c r="X68" s="134"/>
      <c r="Y68" s="93"/>
      <c r="Z68" s="93"/>
      <c r="AA68" s="93"/>
      <c r="AB68" s="93"/>
      <c r="AC68" s="93"/>
      <c r="AD68" s="93"/>
      <c r="AE68" s="93"/>
      <c r="AF68" s="93"/>
      <c r="AG68" s="114"/>
      <c r="AH68" s="114"/>
      <c r="AI68"/>
    </row>
    <row r="69" spans="1:35" s="95" customFormat="1" x14ac:dyDescent="0.25">
      <c r="A69" s="4" t="s">
        <v>205</v>
      </c>
      <c r="B69" s="8">
        <f>372097.02</f>
        <v>372097.02</v>
      </c>
      <c r="C69" s="3"/>
      <c r="D69" s="8">
        <f t="shared" si="74"/>
        <v>372097.02</v>
      </c>
      <c r="E69" s="7" t="str">
        <f t="shared" si="75"/>
        <v/>
      </c>
      <c r="M69" s="81"/>
      <c r="N69" s="115"/>
      <c r="O69" s="115">
        <f>+M66+O66</f>
        <v>230415</v>
      </c>
      <c r="P69" s="115"/>
      <c r="Q69" s="91"/>
      <c r="R69" s="91"/>
      <c r="S69" s="91"/>
      <c r="T69" s="93"/>
      <c r="U69" s="91"/>
      <c r="V69" s="91"/>
      <c r="W69" s="134"/>
      <c r="X69" s="134"/>
      <c r="Y69" s="93"/>
      <c r="Z69" s="93"/>
      <c r="AA69" s="93"/>
      <c r="AB69" s="93"/>
      <c r="AC69" s="93"/>
      <c r="AD69" s="93"/>
      <c r="AE69" s="93"/>
      <c r="AF69" s="93"/>
      <c r="AG69" s="114"/>
      <c r="AH69" s="114"/>
    </row>
    <row r="70" spans="1:35" s="95" customFormat="1" x14ac:dyDescent="0.25">
      <c r="A70" s="4" t="s">
        <v>71</v>
      </c>
      <c r="B70" s="8">
        <f>-1972441.1</f>
        <v>-1972441.1</v>
      </c>
      <c r="C70" s="3"/>
      <c r="D70" s="8">
        <f t="shared" si="74"/>
        <v>-1972441.1</v>
      </c>
      <c r="E70" s="7" t="str">
        <f t="shared" si="75"/>
        <v/>
      </c>
      <c r="M70" s="82"/>
      <c r="N70" s="115"/>
      <c r="O70" s="115" t="e">
        <f>+M67+O67</f>
        <v>#REF!</v>
      </c>
      <c r="P70" s="115"/>
      <c r="Q70" s="91"/>
      <c r="R70" s="91"/>
      <c r="S70" s="91"/>
      <c r="T70" s="93"/>
      <c r="U70" s="91"/>
      <c r="V70" s="91"/>
      <c r="W70" s="134"/>
      <c r="X70" s="134"/>
      <c r="Y70" s="93"/>
      <c r="Z70" s="93"/>
      <c r="AA70" s="93"/>
      <c r="AB70" s="93"/>
      <c r="AC70" s="93"/>
      <c r="AD70" s="93"/>
      <c r="AE70" s="93"/>
      <c r="AF70" s="93"/>
      <c r="AG70" s="114"/>
      <c r="AH70" s="114"/>
    </row>
    <row r="71" spans="1:35" x14ac:dyDescent="0.25">
      <c r="A71" s="4" t="s">
        <v>70</v>
      </c>
      <c r="B71" s="8">
        <f>-91811.79</f>
        <v>-91811.79</v>
      </c>
      <c r="C71" s="3"/>
      <c r="D71" s="8">
        <f t="shared" si="74"/>
        <v>-91811.79</v>
      </c>
      <c r="E71" s="7" t="str">
        <f t="shared" si="75"/>
        <v/>
      </c>
      <c r="F71" s="95"/>
      <c r="G71" s="95"/>
      <c r="H71" s="95"/>
      <c r="I71" s="95"/>
      <c r="J71" s="95"/>
      <c r="K71" s="95"/>
      <c r="L71" s="95"/>
      <c r="M71" s="95"/>
      <c r="N71" s="115"/>
      <c r="O71" s="115"/>
      <c r="P71" s="115"/>
      <c r="Q71" s="91"/>
      <c r="R71" s="91"/>
      <c r="S71" s="91"/>
      <c r="T71" s="93"/>
      <c r="U71" s="91"/>
      <c r="V71" s="91"/>
      <c r="W71" s="134"/>
      <c r="X71" s="134"/>
      <c r="AI71" s="95"/>
    </row>
    <row r="72" spans="1:35" x14ac:dyDescent="0.25">
      <c r="A72" s="4" t="s">
        <v>69</v>
      </c>
      <c r="B72" s="6">
        <f>((((B67)+(B68))+(B69))+(B70))+(B71)</f>
        <v>-1479393.7400000002</v>
      </c>
      <c r="C72" s="6">
        <f>((((C67)+(C68))+(C69))+(C70))+(C71)</f>
        <v>0</v>
      </c>
      <c r="D72" s="6">
        <f t="shared" si="74"/>
        <v>-1479393.7400000002</v>
      </c>
      <c r="E72" s="5" t="str">
        <f t="shared" si="75"/>
        <v/>
      </c>
      <c r="N72" s="115"/>
      <c r="O72" s="115"/>
      <c r="P72" s="115"/>
      <c r="Q72" s="91"/>
      <c r="R72" s="91"/>
      <c r="S72" s="91"/>
      <c r="U72" s="91"/>
      <c r="V72" s="91"/>
      <c r="W72" s="134"/>
      <c r="X72" s="134"/>
    </row>
    <row r="73" spans="1:35" x14ac:dyDescent="0.25">
      <c r="A73" s="4" t="s">
        <v>68</v>
      </c>
      <c r="B73" s="8">
        <f>27625</f>
        <v>27625</v>
      </c>
      <c r="C73" s="8">
        <f>27625</f>
        <v>27625</v>
      </c>
      <c r="D73" s="8">
        <f t="shared" si="74"/>
        <v>0</v>
      </c>
      <c r="E73" s="7">
        <f t="shared" si="75"/>
        <v>1</v>
      </c>
      <c r="N73" s="115"/>
      <c r="O73" s="115"/>
      <c r="P73" s="115"/>
      <c r="Q73" s="91"/>
      <c r="R73" s="91"/>
      <c r="S73" s="91"/>
      <c r="U73" s="91"/>
      <c r="V73" s="91"/>
      <c r="W73" s="134"/>
      <c r="X73" s="134"/>
    </row>
    <row r="74" spans="1:35" x14ac:dyDescent="0.25">
      <c r="A74" s="4" t="s">
        <v>67</v>
      </c>
      <c r="B74" s="6">
        <f>((B66)+(B72))+(B73)</f>
        <v>184228.80999999982</v>
      </c>
      <c r="C74" s="6">
        <f>((C66)+(C72))+(C73)</f>
        <v>27625</v>
      </c>
      <c r="D74" s="6">
        <f t="shared" si="74"/>
        <v>156603.80999999982</v>
      </c>
      <c r="E74" s="5">
        <f t="shared" si="75"/>
        <v>6.6689161990950163</v>
      </c>
      <c r="N74" s="115"/>
      <c r="O74" s="115"/>
      <c r="P74" s="115"/>
      <c r="Q74" s="91"/>
      <c r="R74" s="91"/>
      <c r="S74" s="91"/>
      <c r="U74" s="91"/>
      <c r="V74" s="91"/>
      <c r="W74" s="159"/>
      <c r="X74" s="134"/>
    </row>
    <row r="75" spans="1:35" x14ac:dyDescent="0.25">
      <c r="A75" s="4" t="s">
        <v>66</v>
      </c>
      <c r="B75" s="3"/>
      <c r="C75" s="3"/>
      <c r="D75" s="3"/>
      <c r="E75" s="3"/>
      <c r="N75" s="91"/>
      <c r="O75" s="91"/>
      <c r="P75" s="91"/>
      <c r="Q75" s="91"/>
      <c r="R75" s="91"/>
      <c r="S75" s="91"/>
      <c r="U75" s="91"/>
      <c r="V75" s="91"/>
      <c r="W75" s="137"/>
      <c r="X75" s="137"/>
    </row>
    <row r="76" spans="1:35" x14ac:dyDescent="0.25">
      <c r="A76" s="4" t="s">
        <v>65</v>
      </c>
      <c r="B76" s="8">
        <f>1509451.29</f>
        <v>1509451.29</v>
      </c>
      <c r="C76" s="3"/>
      <c r="D76" s="8">
        <f>(B76)-(C76)</f>
        <v>1509451.29</v>
      </c>
      <c r="E76" s="7" t="str">
        <f>IF(C76=0,"",(B76)/(C76))</f>
        <v/>
      </c>
      <c r="N76" s="91"/>
      <c r="O76" s="91"/>
      <c r="P76" s="91"/>
      <c r="Q76" s="91"/>
      <c r="R76" s="91"/>
      <c r="S76" s="91"/>
      <c r="U76" s="91"/>
      <c r="V76" s="91"/>
      <c r="W76" s="160"/>
      <c r="X76" s="135"/>
    </row>
    <row r="77" spans="1:35" x14ac:dyDescent="0.25">
      <c r="A77" s="4" t="s">
        <v>64</v>
      </c>
      <c r="B77" s="6">
        <f>B76</f>
        <v>1509451.29</v>
      </c>
      <c r="C77" s="6">
        <f>C76</f>
        <v>0</v>
      </c>
      <c r="D77" s="6">
        <f>(B77)-(C77)</f>
        <v>1509451.29</v>
      </c>
      <c r="E77" s="5" t="str">
        <f>IF(C77=0,"",(B77)/(C77))</f>
        <v/>
      </c>
      <c r="N77" s="91"/>
      <c r="O77" s="91"/>
      <c r="P77" s="91"/>
      <c r="Q77" s="91"/>
      <c r="R77" s="91"/>
      <c r="S77" s="91"/>
      <c r="U77" s="91"/>
      <c r="V77" s="91"/>
      <c r="W77" s="137"/>
      <c r="X77" s="137"/>
    </row>
    <row r="78" spans="1:35" x14ac:dyDescent="0.25">
      <c r="A78" s="4" t="s">
        <v>63</v>
      </c>
      <c r="B78" s="6">
        <f>(B74)-(B77)</f>
        <v>-1325222.4800000002</v>
      </c>
      <c r="C78" s="6">
        <f>(C74)-(C77)</f>
        <v>27625</v>
      </c>
      <c r="D78" s="6">
        <f>(B78)-(C78)</f>
        <v>-1352847.4800000002</v>
      </c>
      <c r="E78" s="5">
        <f>IF(C78=0,"",(B78)/(C78))</f>
        <v>-47.971854479638019</v>
      </c>
      <c r="N78" s="91"/>
      <c r="O78" s="91"/>
      <c r="P78" s="91"/>
      <c r="Q78" s="91"/>
      <c r="R78" s="91"/>
      <c r="S78" s="91"/>
      <c r="U78" s="91"/>
      <c r="V78" s="91"/>
      <c r="W78" s="159"/>
      <c r="X78" s="134"/>
    </row>
    <row r="79" spans="1:35" s="145" customFormat="1" x14ac:dyDescent="0.25">
      <c r="A79" s="4" t="s">
        <v>62</v>
      </c>
      <c r="B79" s="6">
        <f>(B64)+(B78)</f>
        <v>-1356753.3400000003</v>
      </c>
      <c r="C79" s="6">
        <f>(C64)+(C78)</f>
        <v>-7127.6300000000047</v>
      </c>
      <c r="D79" s="6">
        <f>(B79)-(C79)</f>
        <v>-1349625.7100000004</v>
      </c>
      <c r="E79" s="5">
        <f>IF(C79=0,"",(B79)/(C79))</f>
        <v>190.35125841268407</v>
      </c>
      <c r="N79" s="91"/>
      <c r="O79" s="91"/>
      <c r="P79" s="91"/>
      <c r="Q79" s="91"/>
      <c r="R79" s="91"/>
      <c r="S79" s="91"/>
      <c r="U79" s="91"/>
      <c r="V79" s="91"/>
      <c r="W79" s="134"/>
      <c r="X79" s="134"/>
      <c r="Y79" s="93"/>
      <c r="Z79" s="93"/>
      <c r="AA79" s="93"/>
      <c r="AB79" s="93"/>
      <c r="AC79" s="93"/>
      <c r="AD79" s="93"/>
      <c r="AE79" s="93"/>
      <c r="AF79" s="93"/>
    </row>
    <row r="80" spans="1:35" s="145" customFormat="1" x14ac:dyDescent="0.25">
      <c r="A80" s="4"/>
      <c r="B80" s="3"/>
      <c r="C80" s="3"/>
      <c r="D80" s="3"/>
      <c r="E80" s="3"/>
      <c r="N80" s="91"/>
      <c r="O80" s="91"/>
      <c r="P80" s="91"/>
      <c r="Q80" s="91"/>
      <c r="R80" s="91"/>
      <c r="S80" s="91"/>
      <c r="U80" s="91"/>
      <c r="V80" s="91"/>
      <c r="W80" s="134"/>
      <c r="X80" s="134"/>
      <c r="Y80" s="93"/>
      <c r="Z80" s="93"/>
      <c r="AA80" s="93"/>
      <c r="AB80" s="93"/>
      <c r="AC80" s="93"/>
      <c r="AD80" s="93"/>
      <c r="AE80" s="93"/>
      <c r="AF80" s="93"/>
    </row>
    <row r="81" spans="1:32" s="145" customFormat="1" x14ac:dyDescent="0.25">
      <c r="A81" s="4"/>
      <c r="B81" s="3"/>
      <c r="C81" s="3"/>
      <c r="D81" s="3"/>
      <c r="E81" s="3"/>
      <c r="N81" s="91"/>
      <c r="O81" s="91"/>
      <c r="P81" s="91"/>
      <c r="Q81" s="91"/>
      <c r="R81" s="91"/>
      <c r="S81" s="91"/>
      <c r="U81" s="91"/>
      <c r="V81" s="91"/>
      <c r="W81" s="134"/>
      <c r="X81" s="134"/>
      <c r="Y81" s="93"/>
      <c r="Z81" s="93"/>
      <c r="AA81" s="93"/>
      <c r="AB81" s="93"/>
      <c r="AC81" s="93"/>
      <c r="AD81" s="93"/>
      <c r="AE81" s="93"/>
      <c r="AF81" s="93"/>
    </row>
    <row r="82" spans="1:32" s="145" customFormat="1" x14ac:dyDescent="0.25">
      <c r="A82" s="4"/>
      <c r="B82" s="3"/>
      <c r="C82" s="3"/>
      <c r="D82" s="3"/>
      <c r="E82" s="3"/>
      <c r="N82" s="91"/>
      <c r="O82" s="91"/>
      <c r="P82" s="91"/>
      <c r="Q82" s="91"/>
      <c r="R82" s="91"/>
      <c r="S82" s="91"/>
      <c r="U82" s="91"/>
      <c r="V82" s="91"/>
      <c r="W82" s="134"/>
      <c r="X82" s="134"/>
      <c r="Y82" s="93"/>
      <c r="Z82" s="93"/>
      <c r="AA82" s="93"/>
      <c r="AB82" s="93"/>
      <c r="AC82" s="93"/>
      <c r="AD82" s="93"/>
      <c r="AE82" s="93"/>
      <c r="AF82" s="93"/>
    </row>
    <row r="83" spans="1:32" s="145" customFormat="1" x14ac:dyDescent="0.25">
      <c r="A83" s="4"/>
      <c r="B83" s="3"/>
      <c r="C83" s="3"/>
      <c r="D83" s="3"/>
      <c r="E83" s="3"/>
      <c r="N83" s="91"/>
      <c r="O83" s="91"/>
      <c r="P83" s="91"/>
      <c r="Q83" s="91"/>
      <c r="R83" s="91"/>
      <c r="S83" s="91"/>
      <c r="U83" s="91"/>
      <c r="V83" s="91"/>
      <c r="W83" s="134"/>
      <c r="X83" s="134"/>
      <c r="Y83" s="93"/>
      <c r="Z83" s="93"/>
      <c r="AA83" s="93"/>
      <c r="AB83" s="93"/>
      <c r="AC83" s="93"/>
      <c r="AD83" s="93"/>
      <c r="AE83" s="93"/>
      <c r="AF83" s="93"/>
    </row>
    <row r="84" spans="1:32" x14ac:dyDescent="0.25">
      <c r="A84" s="173" t="s">
        <v>61</v>
      </c>
      <c r="B84" s="173"/>
      <c r="C84" s="173"/>
      <c r="D84" s="173"/>
      <c r="E84" s="173"/>
      <c r="N84" s="91"/>
      <c r="O84" s="91"/>
      <c r="P84" s="91"/>
      <c r="Q84" s="91"/>
      <c r="R84" s="91"/>
      <c r="S84" s="91"/>
      <c r="U84" s="91"/>
      <c r="V84" s="91"/>
      <c r="W84" s="134"/>
      <c r="X84" s="134"/>
    </row>
    <row r="85" spans="1:32" x14ac:dyDescent="0.25">
      <c r="A85" s="145"/>
      <c r="B85" s="145"/>
      <c r="C85" s="145"/>
      <c r="D85" s="145"/>
      <c r="E85" s="145"/>
      <c r="N85" s="91"/>
      <c r="O85" s="91"/>
      <c r="P85" s="91"/>
      <c r="Q85" s="91"/>
      <c r="R85" s="91"/>
      <c r="S85" s="91"/>
      <c r="U85" s="91"/>
      <c r="V85" s="91"/>
      <c r="W85" s="133">
        <f>W84</f>
        <v>0</v>
      </c>
      <c r="X85" s="137"/>
    </row>
    <row r="86" spans="1:32" x14ac:dyDescent="0.25">
      <c r="A86" s="180" t="s">
        <v>264</v>
      </c>
      <c r="B86" s="170"/>
      <c r="C86" s="170"/>
      <c r="D86" s="170"/>
      <c r="E86" s="170"/>
      <c r="F86">
        <v>102188.35</v>
      </c>
      <c r="G86" s="80">
        <f>+F86-D86</f>
        <v>102188.35</v>
      </c>
      <c r="N86" s="91"/>
      <c r="O86" s="91"/>
      <c r="P86" s="91"/>
      <c r="Q86" s="91"/>
      <c r="R86" s="91"/>
      <c r="S86" s="91"/>
      <c r="U86" s="91"/>
      <c r="V86" s="91"/>
      <c r="W86" s="133">
        <f>(W77)-(W85)</f>
        <v>0</v>
      </c>
      <c r="X86" s="137"/>
    </row>
    <row r="87" spans="1:32" x14ac:dyDescent="0.25">
      <c r="A87" s="4" t="s">
        <v>62</v>
      </c>
      <c r="B87" s="6">
        <f>(B69)+(B86)</f>
        <v>372097.02</v>
      </c>
      <c r="C87" s="6">
        <f>(C69)+(C86)</f>
        <v>0</v>
      </c>
      <c r="D87" s="6">
        <f>(B87)-(C87)</f>
        <v>372097.02</v>
      </c>
      <c r="E87" s="5" t="str">
        <f>IF(C87=0,"",(B87)/(C87))</f>
        <v/>
      </c>
      <c r="N87" s="91"/>
      <c r="O87" s="91"/>
      <c r="P87" s="91"/>
      <c r="Q87" s="91"/>
      <c r="R87" s="91"/>
      <c r="S87" s="91"/>
      <c r="U87" s="91"/>
      <c r="V87" s="91"/>
      <c r="W87" s="133">
        <f>(W64)+(W86)</f>
        <v>0</v>
      </c>
      <c r="X87" s="137"/>
    </row>
    <row r="88" spans="1:32" x14ac:dyDescent="0.25">
      <c r="A88" s="4"/>
      <c r="B88" s="3"/>
      <c r="C88" s="3"/>
      <c r="D88" s="3"/>
      <c r="E88" s="3"/>
      <c r="N88" s="91"/>
      <c r="O88" s="91"/>
      <c r="P88" s="91"/>
      <c r="Q88" s="91"/>
      <c r="R88" s="91"/>
      <c r="S88" s="91"/>
      <c r="U88" s="91"/>
      <c r="V88" s="91"/>
      <c r="W88" s="93"/>
      <c r="X88" s="93"/>
    </row>
    <row r="89" spans="1:32" x14ac:dyDescent="0.25">
      <c r="B89" t="s">
        <v>192</v>
      </c>
      <c r="C89" s="93">
        <v>22541.67</v>
      </c>
      <c r="D89" s="93"/>
      <c r="N89" s="91"/>
      <c r="O89" s="91"/>
      <c r="P89" s="91"/>
      <c r="Q89" s="91"/>
      <c r="R89" s="91"/>
      <c r="S89" s="91"/>
      <c r="U89" s="91"/>
      <c r="V89" s="91"/>
      <c r="W89" s="93"/>
      <c r="X89" s="93"/>
    </row>
    <row r="90" spans="1:32" x14ac:dyDescent="0.25">
      <c r="B90" t="s">
        <v>193</v>
      </c>
      <c r="C90" s="93">
        <v>-10644.33</v>
      </c>
      <c r="D90" s="93">
        <f>+C90+C89</f>
        <v>11897.339999999998</v>
      </c>
      <c r="N90" s="91"/>
      <c r="O90" s="91"/>
      <c r="P90" s="91"/>
      <c r="Q90" s="91"/>
      <c r="R90" s="91"/>
      <c r="S90" s="91"/>
      <c r="U90" s="91"/>
      <c r="V90" s="91"/>
      <c r="W90" s="93"/>
      <c r="X90" s="93"/>
    </row>
    <row r="91" spans="1:32" x14ac:dyDescent="0.25">
      <c r="B91" t="s">
        <v>194</v>
      </c>
      <c r="C91" s="93">
        <f>13516.67-27625</f>
        <v>-14108.33</v>
      </c>
      <c r="D91" s="93">
        <f>+D90+C91</f>
        <v>-2210.9900000000016</v>
      </c>
      <c r="N91" s="91"/>
      <c r="O91" s="91"/>
      <c r="P91" s="91"/>
      <c r="Q91" s="91"/>
      <c r="R91" s="91"/>
      <c r="S91" s="91"/>
      <c r="U91" s="91"/>
      <c r="V91" s="91"/>
      <c r="W91" s="93"/>
      <c r="X91" s="93"/>
    </row>
    <row r="92" spans="1:32" x14ac:dyDescent="0.25">
      <c r="B92" t="s">
        <v>195</v>
      </c>
      <c r="C92" s="93">
        <v>21716.67</v>
      </c>
      <c r="D92" s="93">
        <f>+D91+C92</f>
        <v>19505.679999999997</v>
      </c>
      <c r="N92" s="91"/>
      <c r="O92" s="91"/>
      <c r="P92" s="91"/>
      <c r="Q92" s="91"/>
      <c r="R92" s="91"/>
      <c r="S92" s="91"/>
      <c r="U92" s="91"/>
      <c r="V92" s="91"/>
      <c r="W92" s="91"/>
      <c r="X92" s="91"/>
    </row>
    <row r="93" spans="1:32" x14ac:dyDescent="0.25">
      <c r="B93" t="s">
        <v>196</v>
      </c>
      <c r="C93" s="93">
        <v>-22399.33</v>
      </c>
      <c r="D93" s="100">
        <f>+D92+C93</f>
        <v>-2893.6500000000051</v>
      </c>
    </row>
    <row r="94" spans="1:32" x14ac:dyDescent="0.25">
      <c r="B94" t="s">
        <v>197</v>
      </c>
      <c r="C94" s="93">
        <v>-16408.330000000002</v>
      </c>
      <c r="D94" s="93">
        <f t="shared" ref="D94:D100" si="76">+D93+C94</f>
        <v>-19301.980000000007</v>
      </c>
    </row>
    <row r="95" spans="1:32" x14ac:dyDescent="0.25">
      <c r="B95" t="s">
        <v>198</v>
      </c>
      <c r="C95" s="93">
        <v>27041.67</v>
      </c>
      <c r="D95" s="93">
        <f t="shared" si="76"/>
        <v>7739.6899999999914</v>
      </c>
    </row>
    <row r="96" spans="1:32" x14ac:dyDescent="0.25">
      <c r="B96" t="s">
        <v>199</v>
      </c>
      <c r="C96" s="93">
        <v>-28925.33</v>
      </c>
      <c r="D96" s="93">
        <f t="shared" si="76"/>
        <v>-21185.64000000001</v>
      </c>
    </row>
    <row r="97" spans="2:6" x14ac:dyDescent="0.25">
      <c r="B97" t="s">
        <v>200</v>
      </c>
      <c r="C97" s="93">
        <v>-14958.33</v>
      </c>
      <c r="D97" s="93">
        <f t="shared" si="76"/>
        <v>-36143.970000000008</v>
      </c>
    </row>
    <row r="98" spans="2:6" x14ac:dyDescent="0.25">
      <c r="B98" t="s">
        <v>201</v>
      </c>
      <c r="C98" s="93">
        <v>23491.67</v>
      </c>
      <c r="D98" s="93">
        <f t="shared" si="76"/>
        <v>-12652.30000000001</v>
      </c>
    </row>
    <row r="99" spans="2:6" x14ac:dyDescent="0.25">
      <c r="B99" t="s">
        <v>202</v>
      </c>
      <c r="C99" s="93">
        <v>-22100.33</v>
      </c>
      <c r="D99" s="93">
        <f t="shared" si="76"/>
        <v>-34752.630000000012</v>
      </c>
    </row>
    <row r="100" spans="2:6" x14ac:dyDescent="0.25">
      <c r="B100" t="s">
        <v>203</v>
      </c>
      <c r="C100" s="93">
        <v>-13458.37</v>
      </c>
      <c r="D100" s="93">
        <f t="shared" si="76"/>
        <v>-48211.000000000015</v>
      </c>
      <c r="E100" s="93">
        <v>27625</v>
      </c>
      <c r="F100" s="76">
        <f>+D100+E100</f>
        <v>-20586.000000000015</v>
      </c>
    </row>
    <row r="101" spans="2:6" x14ac:dyDescent="0.25">
      <c r="C101" s="93"/>
      <c r="D101" s="93"/>
      <c r="E101" t="s">
        <v>204</v>
      </c>
    </row>
  </sheetData>
  <mergeCells count="8">
    <mergeCell ref="A84:E84"/>
    <mergeCell ref="A86:E86"/>
    <mergeCell ref="Y5:AA5"/>
    <mergeCell ref="T5:W5"/>
    <mergeCell ref="B5:E5"/>
    <mergeCell ref="A1:E1"/>
    <mergeCell ref="A2:E2"/>
    <mergeCell ref="A3:E3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7"/>
  <sheetViews>
    <sheetView workbookViewId="0">
      <selection activeCell="B11" sqref="B11"/>
    </sheetView>
  </sheetViews>
  <sheetFormatPr defaultRowHeight="15" x14ac:dyDescent="0.25"/>
  <cols>
    <col min="1" max="1" width="35.28515625" style="94" customWidth="1"/>
    <col min="2" max="7" width="11.140625" style="94" customWidth="1"/>
    <col min="8" max="16384" width="9.140625" style="94"/>
  </cols>
  <sheetData>
    <row r="1" spans="1:7" ht="18" x14ac:dyDescent="0.25">
      <c r="A1" s="171" t="s">
        <v>59</v>
      </c>
      <c r="B1" s="170"/>
      <c r="C1" s="170"/>
      <c r="D1" s="170"/>
      <c r="E1" s="170"/>
      <c r="F1" s="170"/>
      <c r="G1" s="170"/>
    </row>
    <row r="2" spans="1:7" ht="18" x14ac:dyDescent="0.25">
      <c r="A2" s="171" t="s">
        <v>137</v>
      </c>
      <c r="B2" s="170"/>
      <c r="C2" s="170"/>
      <c r="D2" s="170"/>
      <c r="E2" s="170"/>
      <c r="F2" s="170"/>
      <c r="G2" s="170"/>
    </row>
    <row r="3" spans="1:7" x14ac:dyDescent="0.25">
      <c r="A3" s="179" t="s">
        <v>265</v>
      </c>
      <c r="B3" s="170"/>
      <c r="C3" s="170"/>
      <c r="D3" s="170"/>
      <c r="E3" s="170"/>
      <c r="F3" s="170"/>
      <c r="G3" s="170"/>
    </row>
    <row r="4" spans="1:7" x14ac:dyDescent="0.25">
      <c r="A4" s="145"/>
      <c r="B4" s="145"/>
      <c r="C4" s="145"/>
      <c r="D4" s="145"/>
      <c r="E4" s="145"/>
      <c r="F4" s="145"/>
      <c r="G4" s="145"/>
    </row>
    <row r="5" spans="1:7" x14ac:dyDescent="0.25">
      <c r="A5" s="1"/>
      <c r="B5" s="146" t="s">
        <v>135</v>
      </c>
      <c r="C5" s="146" t="s">
        <v>134</v>
      </c>
      <c r="D5" s="146" t="s">
        <v>133</v>
      </c>
      <c r="E5" s="146" t="s">
        <v>132</v>
      </c>
      <c r="F5" s="146" t="s">
        <v>131</v>
      </c>
      <c r="G5" s="146" t="s">
        <v>0</v>
      </c>
    </row>
    <row r="6" spans="1:7" x14ac:dyDescent="0.25">
      <c r="A6" s="4" t="s">
        <v>269</v>
      </c>
      <c r="B6" s="8">
        <f>153</f>
        <v>153</v>
      </c>
      <c r="C6" s="3"/>
      <c r="D6" s="3"/>
      <c r="E6" s="3"/>
      <c r="F6" s="3"/>
      <c r="G6" s="8">
        <f t="shared" ref="G6:G11" si="0">((((B6)+(C6))+(D6))+(E6))+(F6)</f>
        <v>153</v>
      </c>
    </row>
    <row r="7" spans="1:7" x14ac:dyDescent="0.25">
      <c r="A7" s="4" t="s">
        <v>270</v>
      </c>
      <c r="B7" s="8">
        <f>1150</f>
        <v>1150</v>
      </c>
      <c r="C7" s="3"/>
      <c r="D7" s="3"/>
      <c r="E7" s="3"/>
      <c r="F7" s="3"/>
      <c r="G7" s="8">
        <f t="shared" si="0"/>
        <v>1150</v>
      </c>
    </row>
    <row r="8" spans="1:7" x14ac:dyDescent="0.25">
      <c r="A8" s="4" t="s">
        <v>271</v>
      </c>
      <c r="B8" s="3"/>
      <c r="C8" s="3"/>
      <c r="D8" s="8">
        <f>100</f>
        <v>100</v>
      </c>
      <c r="E8" s="3"/>
      <c r="F8" s="3"/>
      <c r="G8" s="8">
        <f t="shared" si="0"/>
        <v>100</v>
      </c>
    </row>
    <row r="9" spans="1:7" x14ac:dyDescent="0.25">
      <c r="A9" s="4" t="s">
        <v>206</v>
      </c>
      <c r="B9" s="8">
        <f>2200</f>
        <v>2200</v>
      </c>
      <c r="C9" s="3"/>
      <c r="D9" s="3"/>
      <c r="E9" s="3"/>
      <c r="F9" s="3"/>
      <c r="G9" s="8">
        <f t="shared" si="0"/>
        <v>2200</v>
      </c>
    </row>
    <row r="10" spans="1:7" x14ac:dyDescent="0.25">
      <c r="A10" s="4" t="s">
        <v>136</v>
      </c>
      <c r="B10" s="3"/>
      <c r="C10" s="8">
        <f>-200</f>
        <v>-200</v>
      </c>
      <c r="D10" s="3"/>
      <c r="E10" s="3"/>
      <c r="F10" s="3"/>
      <c r="G10" s="8">
        <f t="shared" si="0"/>
        <v>-200</v>
      </c>
    </row>
    <row r="11" spans="1:7" x14ac:dyDescent="0.25">
      <c r="A11" s="4" t="s">
        <v>130</v>
      </c>
      <c r="B11" s="6">
        <f>((((B6)+(B7))+(B8))+(B9))+(B10)</f>
        <v>3503</v>
      </c>
      <c r="C11" s="6">
        <f>((((C6)+(C7))+(C8))+(C9))+(C10)</f>
        <v>-200</v>
      </c>
      <c r="D11" s="6">
        <f>((((D6)+(D7))+(D8))+(D9))+(D10)</f>
        <v>100</v>
      </c>
      <c r="E11" s="6">
        <f>((((E6)+(E7))+(E8))+(E9))+(E10)</f>
        <v>0</v>
      </c>
      <c r="F11" s="6">
        <f>((((F6)+(F7))+(F8))+(F9))+(F10)</f>
        <v>0</v>
      </c>
      <c r="G11" s="6">
        <f t="shared" si="0"/>
        <v>3403</v>
      </c>
    </row>
    <row r="12" spans="1:7" x14ac:dyDescent="0.25">
      <c r="A12" s="4"/>
      <c r="B12" s="3"/>
      <c r="C12" s="3"/>
      <c r="D12" s="3"/>
      <c r="E12" s="3"/>
      <c r="F12" s="3"/>
      <c r="G12" s="3"/>
    </row>
    <row r="13" spans="1:7" x14ac:dyDescent="0.25">
      <c r="A13" s="145"/>
      <c r="B13" s="145"/>
      <c r="C13" s="145"/>
      <c r="D13" s="145"/>
      <c r="E13" s="145"/>
      <c r="F13" s="145"/>
      <c r="G13" s="145"/>
    </row>
    <row r="14" spans="1:7" x14ac:dyDescent="0.25">
      <c r="A14" s="145"/>
      <c r="B14" s="145"/>
      <c r="C14" s="145"/>
      <c r="D14" s="145"/>
      <c r="E14" s="145"/>
      <c r="F14" s="145"/>
      <c r="G14" s="145"/>
    </row>
    <row r="15" spans="1:7" x14ac:dyDescent="0.25">
      <c r="A15" s="180" t="s">
        <v>272</v>
      </c>
      <c r="B15" s="170"/>
      <c r="C15" s="170"/>
      <c r="D15" s="170"/>
      <c r="E15" s="170"/>
      <c r="F15" s="170"/>
      <c r="G15" s="170"/>
    </row>
    <row r="17" spans="1:7" x14ac:dyDescent="0.25">
      <c r="A17" s="180"/>
      <c r="B17" s="170"/>
      <c r="C17" s="170"/>
      <c r="D17" s="170"/>
      <c r="E17" s="170"/>
      <c r="F17" s="170"/>
      <c r="G17" s="170"/>
    </row>
  </sheetData>
  <mergeCells count="5">
    <mergeCell ref="A1:G1"/>
    <mergeCell ref="A2:G2"/>
    <mergeCell ref="A3:G3"/>
    <mergeCell ref="A17:G17"/>
    <mergeCell ref="A15:G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C3135-F772-4112-A04C-1A7DED1EB584}"/>
</file>

<file path=customXml/itemProps2.xml><?xml version="1.0" encoding="utf-8"?>
<ds:datastoreItem xmlns:ds="http://schemas.openxmlformats.org/officeDocument/2006/customXml" ds:itemID="{62E00B9A-612A-496A-8AAF-4FA29EE5E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 Table</vt:lpstr>
      <vt:lpstr>Funds and Assets</vt:lpstr>
      <vt:lpstr>Statement of Financial Position</vt:lpstr>
      <vt:lpstr>Budget vs. Actuals</vt:lpstr>
      <vt:lpstr>A P Aging Summary</vt:lpstr>
      <vt:lpstr>'Budget vs. Actuals'!Print_Area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2022-04-21T16:58:54Z</cp:lastPrinted>
  <dcterms:created xsi:type="dcterms:W3CDTF">2021-09-20T13:27:09Z</dcterms:created>
  <dcterms:modified xsi:type="dcterms:W3CDTF">2022-09-19T19:21:09Z</dcterms:modified>
</cp:coreProperties>
</file>