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Dec 2021\"/>
    </mc:Choice>
  </mc:AlternateContent>
  <xr:revisionPtr revIDLastSave="0" documentId="13_ncr:1_{04A0841B-B40F-447F-B2A8-F76CA8B27569}" xr6:coauthVersionLast="4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7" r:id="rId1"/>
    <sheet name="Summary Table" sheetId="6" r:id="rId2"/>
    <sheet name="Funds and Assets" sheetId="5" r:id="rId3"/>
    <sheet name="Statement of Financial Position" sheetId="1" r:id="rId4"/>
    <sheet name="Budget vs. Actuals" sheetId="2" r:id="rId5"/>
    <sheet name="A R Aging Summary" sheetId="3" r:id="rId6"/>
    <sheet name="A P Aging Summary" sheetId="4" r:id="rId7"/>
  </sheets>
  <externalReferences>
    <externalReference r:id="rId8"/>
    <externalReference r:id="rId9"/>
  </externalReferences>
  <calcPr calcId="191029"/>
  <pivotCaches>
    <pivotCache cacheId="12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9" i="2" l="1"/>
  <c r="C80" i="2"/>
  <c r="D80" i="2" s="1"/>
  <c r="D81" i="2" s="1"/>
  <c r="D82" i="2" s="1"/>
  <c r="D83" i="2" s="1"/>
  <c r="D84" i="2" s="1"/>
  <c r="D85" i="2" s="1"/>
  <c r="D86" i="2" s="1"/>
  <c r="D87" i="2" s="1"/>
  <c r="D88" i="2" s="1"/>
  <c r="D89" i="2" s="1"/>
  <c r="D79" i="2"/>
  <c r="I27" i="2" l="1"/>
  <c r="I32" i="2"/>
  <c r="H32" i="2"/>
  <c r="I38" i="2"/>
  <c r="H38" i="2"/>
  <c r="I55" i="2"/>
  <c r="H55" i="2"/>
  <c r="I50" i="2"/>
  <c r="H50" i="2"/>
  <c r="N15" i="6"/>
  <c r="F34" i="5"/>
  <c r="N14" i="6"/>
  <c r="N13" i="6"/>
  <c r="N12" i="6"/>
  <c r="F11" i="4" l="1"/>
  <c r="E11" i="4"/>
  <c r="D11" i="4"/>
  <c r="C10" i="4"/>
  <c r="G10" i="4" s="1"/>
  <c r="C9" i="4"/>
  <c r="G9" i="4" s="1"/>
  <c r="B8" i="4"/>
  <c r="G8" i="4" s="1"/>
  <c r="B7" i="4"/>
  <c r="G7" i="4" s="1"/>
  <c r="C6" i="4"/>
  <c r="C11" i="4" s="1"/>
  <c r="F7" i="3"/>
  <c r="G7" i="3" s="1"/>
  <c r="E7" i="3"/>
  <c r="D7" i="3"/>
  <c r="C7" i="3"/>
  <c r="B7" i="3"/>
  <c r="F6" i="3"/>
  <c r="G6" i="3" s="1"/>
  <c r="C70" i="2"/>
  <c r="E70" i="2" s="1"/>
  <c r="E69" i="2"/>
  <c r="B69" i="2"/>
  <c r="B70" i="2" s="1"/>
  <c r="D70" i="2" s="1"/>
  <c r="E66" i="2"/>
  <c r="D66" i="2"/>
  <c r="C66" i="2"/>
  <c r="E65" i="2"/>
  <c r="C65" i="2"/>
  <c r="C67" i="2" s="1"/>
  <c r="E64" i="2"/>
  <c r="B64" i="2"/>
  <c r="D64" i="2" s="1"/>
  <c r="E63" i="2"/>
  <c r="B63" i="2"/>
  <c r="D63" i="2" s="1"/>
  <c r="E62" i="2"/>
  <c r="B62" i="2"/>
  <c r="B65" i="2" s="1"/>
  <c r="D65" i="2" s="1"/>
  <c r="E61" i="2"/>
  <c r="D61" i="2"/>
  <c r="E60" i="2"/>
  <c r="B60" i="2"/>
  <c r="D60" i="2" s="1"/>
  <c r="E55" i="2"/>
  <c r="B55" i="2"/>
  <c r="D55" i="2" s="1"/>
  <c r="E54" i="2"/>
  <c r="D54" i="2"/>
  <c r="C54" i="2"/>
  <c r="C53" i="2"/>
  <c r="C56" i="2" s="1"/>
  <c r="E56" i="2" s="1"/>
  <c r="B53" i="2"/>
  <c r="B56" i="2" s="1"/>
  <c r="E52" i="2"/>
  <c r="D52" i="2"/>
  <c r="C50" i="2"/>
  <c r="E50" i="2" s="1"/>
  <c r="B50" i="2"/>
  <c r="D50" i="2" s="1"/>
  <c r="C49" i="2"/>
  <c r="E49" i="2" s="1"/>
  <c r="B49" i="2"/>
  <c r="D49" i="2" s="1"/>
  <c r="C48" i="2"/>
  <c r="E48" i="2" s="1"/>
  <c r="B48" i="2"/>
  <c r="D48" i="2" s="1"/>
  <c r="C47" i="2"/>
  <c r="E47" i="2" s="1"/>
  <c r="B47" i="2"/>
  <c r="D47" i="2" s="1"/>
  <c r="C46" i="2"/>
  <c r="E46" i="2" s="1"/>
  <c r="B46" i="2"/>
  <c r="B51" i="2" s="1"/>
  <c r="C45" i="2"/>
  <c r="E45" i="2" s="1"/>
  <c r="E44" i="2"/>
  <c r="D44" i="2"/>
  <c r="C43" i="2"/>
  <c r="C42" i="2"/>
  <c r="E42" i="2" s="1"/>
  <c r="B42" i="2"/>
  <c r="D42" i="2" s="1"/>
  <c r="E41" i="2"/>
  <c r="B41" i="2"/>
  <c r="B43" i="2" s="1"/>
  <c r="D43" i="2" s="1"/>
  <c r="E40" i="2"/>
  <c r="D40" i="2"/>
  <c r="E38" i="2"/>
  <c r="D38" i="2"/>
  <c r="C38" i="2"/>
  <c r="C37" i="2"/>
  <c r="E37" i="2" s="1"/>
  <c r="B37" i="2"/>
  <c r="D37" i="2" s="1"/>
  <c r="C36" i="2"/>
  <c r="D36" i="2" s="1"/>
  <c r="B36" i="2"/>
  <c r="B39" i="2" s="1"/>
  <c r="E35" i="2"/>
  <c r="D35" i="2"/>
  <c r="E33" i="2"/>
  <c r="D33" i="2"/>
  <c r="C33" i="2"/>
  <c r="B33" i="2"/>
  <c r="C32" i="2"/>
  <c r="B32" i="2"/>
  <c r="E32" i="2" s="1"/>
  <c r="E31" i="2"/>
  <c r="D31" i="2"/>
  <c r="C31" i="2"/>
  <c r="B31" i="2"/>
  <c r="C30" i="2"/>
  <c r="C34" i="2" s="1"/>
  <c r="B30" i="2"/>
  <c r="E30" i="2" s="1"/>
  <c r="E29" i="2"/>
  <c r="D29" i="2"/>
  <c r="C28" i="2"/>
  <c r="E28" i="2" s="1"/>
  <c r="E27" i="2"/>
  <c r="B27" i="2"/>
  <c r="D27" i="2" s="1"/>
  <c r="E26" i="2"/>
  <c r="D26" i="2"/>
  <c r="C26" i="2"/>
  <c r="B26" i="2"/>
  <c r="E25" i="2"/>
  <c r="D25" i="2"/>
  <c r="C25" i="2"/>
  <c r="E24" i="2"/>
  <c r="D24" i="2"/>
  <c r="C24" i="2"/>
  <c r="B24" i="2"/>
  <c r="D23" i="2"/>
  <c r="C23" i="2"/>
  <c r="E23" i="2" s="1"/>
  <c r="C22" i="2"/>
  <c r="D22" i="2" s="1"/>
  <c r="B22" i="2"/>
  <c r="C21" i="2"/>
  <c r="E21" i="2" s="1"/>
  <c r="C20" i="2"/>
  <c r="E20" i="2" s="1"/>
  <c r="B20" i="2"/>
  <c r="D20" i="2" s="1"/>
  <c r="C19" i="2"/>
  <c r="B19" i="2"/>
  <c r="E19" i="2" s="1"/>
  <c r="C18" i="2"/>
  <c r="B18" i="2"/>
  <c r="D18" i="2" s="1"/>
  <c r="E14" i="2"/>
  <c r="B14" i="2"/>
  <c r="D14" i="2" s="1"/>
  <c r="C11" i="2"/>
  <c r="C12" i="2" s="1"/>
  <c r="B11" i="2"/>
  <c r="B12" i="2" s="1"/>
  <c r="E10" i="2"/>
  <c r="D10" i="2"/>
  <c r="C9" i="2"/>
  <c r="E9" i="2" s="1"/>
  <c r="B9" i="2"/>
  <c r="D9" i="2" s="1"/>
  <c r="E8" i="2"/>
  <c r="D8" i="2"/>
  <c r="B61" i="1"/>
  <c r="B60" i="1"/>
  <c r="B59" i="1"/>
  <c r="B58" i="1"/>
  <c r="B57" i="1"/>
  <c r="B62" i="1" s="1"/>
  <c r="B52" i="1"/>
  <c r="B51" i="1"/>
  <c r="B50" i="1"/>
  <c r="B53" i="1" s="1"/>
  <c r="B54" i="1" s="1"/>
  <c r="B55" i="1" s="1"/>
  <c r="B63" i="1" s="1"/>
  <c r="B48" i="1"/>
  <c r="B47" i="1"/>
  <c r="B40" i="1"/>
  <c r="B39" i="1"/>
  <c r="B38" i="1"/>
  <c r="B37" i="1"/>
  <c r="B36" i="1"/>
  <c r="B34" i="1"/>
  <c r="B33" i="1"/>
  <c r="B35" i="1" s="1"/>
  <c r="B31" i="1"/>
  <c r="B30" i="1"/>
  <c r="B29" i="1"/>
  <c r="B32" i="1" s="1"/>
  <c r="B24" i="1"/>
  <c r="B23" i="1"/>
  <c r="B25" i="1" s="1"/>
  <c r="B26" i="1" s="1"/>
  <c r="B20" i="1"/>
  <c r="B19" i="1"/>
  <c r="B16" i="1"/>
  <c r="B17" i="1" s="1"/>
  <c r="B13" i="1"/>
  <c r="B12" i="1"/>
  <c r="B11" i="1"/>
  <c r="B10" i="1"/>
  <c r="B14" i="1" s="1"/>
  <c r="B9" i="1"/>
  <c r="H29" i="5"/>
  <c r="G6" i="4" l="1"/>
  <c r="B11" i="4"/>
  <c r="G11" i="4" s="1"/>
  <c r="E67" i="2"/>
  <c r="C71" i="2"/>
  <c r="D39" i="2"/>
  <c r="D12" i="2"/>
  <c r="B13" i="2"/>
  <c r="E12" i="2"/>
  <c r="E43" i="2"/>
  <c r="D56" i="2"/>
  <c r="C13" i="2"/>
  <c r="E22" i="2"/>
  <c r="E36" i="2"/>
  <c r="D46" i="2"/>
  <c r="D69" i="2"/>
  <c r="B34" i="2"/>
  <c r="D34" i="2" s="1"/>
  <c r="D11" i="2"/>
  <c r="E18" i="2"/>
  <c r="D30" i="2"/>
  <c r="D32" i="2"/>
  <c r="C39" i="2"/>
  <c r="E39" i="2" s="1"/>
  <c r="D41" i="2"/>
  <c r="D53" i="2"/>
  <c r="E11" i="2"/>
  <c r="C51" i="2"/>
  <c r="E51" i="2" s="1"/>
  <c r="E53" i="2"/>
  <c r="B67" i="2"/>
  <c r="D21" i="2"/>
  <c r="D28" i="2"/>
  <c r="D19" i="2"/>
  <c r="D45" i="2"/>
  <c r="D62" i="2"/>
  <c r="B21" i="1"/>
  <c r="B42" i="1" s="1"/>
  <c r="B41" i="1"/>
  <c r="B15" i="2" l="1"/>
  <c r="D13" i="2"/>
  <c r="E13" i="2"/>
  <c r="C15" i="2"/>
  <c r="C57" i="2"/>
  <c r="E34" i="2"/>
  <c r="D67" i="2"/>
  <c r="B71" i="2"/>
  <c r="D71" i="2" s="1"/>
  <c r="B57" i="2"/>
  <c r="D57" i="2" s="1"/>
  <c r="D51" i="2"/>
  <c r="E57" i="2" l="1"/>
  <c r="B16" i="2"/>
  <c r="D15" i="2"/>
  <c r="E71" i="2"/>
  <c r="C16" i="2"/>
  <c r="E15" i="2"/>
  <c r="E16" i="2" l="1"/>
  <c r="C58" i="2"/>
  <c r="D16" i="2"/>
  <c r="B58" i="2"/>
  <c r="E58" i="2" l="1"/>
  <c r="C72" i="2"/>
  <c r="E72" i="2" s="1"/>
  <c r="D58" i="2"/>
  <c r="B72" i="2"/>
  <c r="D72" i="2" l="1"/>
  <c r="I42" i="2" l="1"/>
  <c r="H42" i="2"/>
  <c r="H27" i="2"/>
  <c r="I16" i="2"/>
  <c r="M24" i="6"/>
  <c r="K19" i="6"/>
  <c r="J19" i="6"/>
  <c r="X18" i="6"/>
  <c r="M15" i="6"/>
  <c r="L15" i="6"/>
  <c r="O15" i="6" s="1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O13" i="6" s="1"/>
  <c r="K13" i="6"/>
  <c r="J13" i="6"/>
  <c r="I13" i="6"/>
  <c r="H13" i="6"/>
  <c r="G13" i="6"/>
  <c r="F13" i="6"/>
  <c r="E13" i="6"/>
  <c r="M12" i="6"/>
  <c r="L12" i="6"/>
  <c r="O12" i="6" s="1"/>
  <c r="K12" i="6"/>
  <c r="J12" i="6"/>
  <c r="I12" i="6"/>
  <c r="H12" i="6"/>
  <c r="G12" i="6"/>
  <c r="F12" i="6"/>
  <c r="E12" i="6"/>
  <c r="E11" i="6"/>
  <c r="O11" i="6" s="1"/>
  <c r="I40" i="6"/>
  <c r="J42" i="2" l="1"/>
  <c r="J32" i="2"/>
  <c r="I57" i="2"/>
  <c r="I58" i="2" s="1"/>
  <c r="H16" i="2"/>
  <c r="J16" i="2" s="1"/>
  <c r="J50" i="2"/>
  <c r="H57" i="2"/>
  <c r="J38" i="2"/>
  <c r="J55" i="2"/>
  <c r="J27" i="2"/>
  <c r="N19" i="6"/>
  <c r="O14" i="6"/>
  <c r="O17" i="6" s="1"/>
  <c r="J56" i="2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M20" i="6" l="1"/>
  <c r="N11" i="6"/>
  <c r="N17" i="6" s="1"/>
  <c r="J57" i="2"/>
  <c r="N20" i="6"/>
  <c r="H58" i="2"/>
  <c r="K55" i="2"/>
  <c r="J58" i="2"/>
  <c r="K20" i="6"/>
  <c r="J20" i="6"/>
  <c r="G20" i="6"/>
  <c r="E20" i="6"/>
  <c r="H20" i="6"/>
  <c r="I20" i="6"/>
  <c r="F20" i="6"/>
  <c r="L20" i="6"/>
  <c r="F29" i="5"/>
  <c r="G69" i="2"/>
</calcChain>
</file>

<file path=xl/sharedStrings.xml><?xml version="1.0" encoding="utf-8"?>
<sst xmlns="http://schemas.openxmlformats.org/spreadsheetml/2006/main" count="254" uniqueCount="225">
  <si>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</si>
  <si>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</si>
  <si>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</si>
  <si>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</si>
  <si>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</si>
  <si>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</si>
  <si>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</si>
  <si>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</si>
  <si>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</si>
  <si>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</si>
  <si>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</si>
  <si>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</si>
  <si>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</si>
  <si>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</si>
  <si>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</si>
  <si>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</si>
  <si>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</si>
  <si>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</si>
  <si>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</si>
  <si>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</si>
  <si>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</si>
  <si>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</si>
  <si>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</si>
  <si>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</si>
  <si>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</si>
  <si>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</si>
  <si>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</si>
  <si>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</si>
  <si>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</si>
  <si>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</si>
  <si>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</si>
  <si>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</si>
  <si>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</si>
  <si>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</si>
  <si>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</si>
  <si>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</si>
  <si>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</si>
  <si>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</si>
  <si>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</si>
  <si>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</si>
  <si>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</si>
  <si>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</si>
  <si>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</si>
  <si>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</si>
  <si>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</si>
  <si>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</si>
  <si>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</si>
  <si>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</si>
  <si>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</si>
  <si>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</si>
  <si>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</si>
  <si>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</si>
  <si>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</si>
  <si>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</si>
  <si>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</si>
  <si>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</si>
  <si>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</si>
  <si>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</si>
  <si>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</si>
  <si>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</si>
  <si>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</si>
  <si>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</si>
  <si>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</si>
  <si>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</si>
  <si>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</si>
  <si>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</si>
  <si>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</si>
  <si>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</si>
  <si>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</si>
  <si>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</si>
  <si>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</si>
  <si>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</si>
  <si>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</si>
  <si>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</si>
  <si>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</si>
  <si>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</si>
  <si>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</si>
  <si>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</si>
  <si>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</si>
  <si>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</si>
  <si>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</si>
  <si>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</si>
  <si>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</si>
  <si>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</si>
  <si>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</si>
  <si>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</si>
  <si>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</si>
  <si>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</si>
  <si>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</si>
  <si>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</si>
  <si>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</si>
  <si>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</si>
  <si>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</si>
  <si>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</si>
  <si>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</si>
  <si>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</si>
  <si>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</si>
  <si>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</si>
  <si>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</si>
  <si>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</si>
  <si>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</si>
  <si>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</si>
  <si>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</si>
  <si>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</si>
  <si>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</si>
  <si>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</si>
  <si>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</si>
  <si>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</si>
  <si>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</si>
  <si>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</si>
  <si>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</si>
  <si>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</si>
  <si>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</si>
  <si>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</si>
  <si>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</si>
  <si>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 xml:space="preserve">   60000 L&amp;L Event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</si>
  <si>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</si>
  <si>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</si>
  <si>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</si>
  <si>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</si>
  <si>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</si>
  <si>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</si>
  <si>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</si>
  <si>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</si>
  <si>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</si>
  <si>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</si>
  <si>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</si>
  <si>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</si>
  <si>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</si>
  <si>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</si>
  <si>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</si>
  <si>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</si>
  <si>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</si>
  <si>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</si>
  <si>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</si>
  <si>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</si>
  <si>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</si>
  <si>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</si>
  <si>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</si>
  <si>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</si>
  <si>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Netcentric IT Management, Inc.</t>
  </si>
  <si>
    <t>Marisa Reingle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</si>
  <si>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</si>
  <si>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</si>
  <si>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</si>
  <si>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</si>
  <si>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</si>
  <si>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</si>
  <si>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</si>
  <si>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</si>
  <si>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</si>
  <si>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</si>
  <si>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</si>
  <si>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</si>
  <si>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</si>
  <si>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</si>
  <si>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</si>
  <si>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</si>
  <si>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</si>
  <si>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</si>
  <si>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</si>
  <si>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</si>
  <si>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</si>
  <si>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</si>
  <si>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</si>
  <si>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</si>
  <si>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</si>
  <si>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</si>
  <si>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</si>
  <si>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</si>
  <si>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</si>
  <si>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</si>
  <si>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</si>
  <si>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</si>
  <si>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</si>
  <si>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</si>
  <si>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</si>
  <si>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</si>
  <si>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</si>
  <si>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</si>
  <si>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</si>
  <si>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</si>
  <si>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</si>
  <si>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</si>
  <si>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</si>
  <si>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</si>
  <si>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</si>
  <si>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</si>
  <si>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</si>
  <si>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</si>
  <si>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</si>
  <si>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</si>
  <si>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</si>
  <si>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</si>
  <si>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</si>
  <si>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</si>
  <si>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As of September 30, 2021</t>
  </si>
  <si>
    <t>today</t>
  </si>
  <si>
    <t>July - October, 2021</t>
  </si>
  <si>
    <t>Asset Summary as of November 30, 2021</t>
  </si>
  <si>
    <t>11.30.2021</t>
  </si>
  <si>
    <t>As of November 30, 2021</t>
  </si>
  <si>
    <t>Sunday, Dec 19, 2021 06:07:14 PM GMT-8 - Accrual Basis</t>
  </si>
  <si>
    <t xml:space="preserve">   60030 Miscellaneous Taxes &amp; Fees</t>
  </si>
  <si>
    <t>Sunday, Dec 19, 2021 06:10:15 PM GMT-8 - Accrual Basis</t>
  </si>
  <si>
    <t>The Jewish Federation of Somerset, Hunterdon and Warren Counties</t>
  </si>
  <si>
    <t>Sunday, Dec 19, 2021 06:11:05 PM GMT-8</t>
  </si>
  <si>
    <t>KickStart! Mailing Services</t>
  </si>
  <si>
    <t>Wells Fargo Bank</t>
  </si>
  <si>
    <t>Sunday, Dec 19, 2021 06:11:31 PM GMT-8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</si>
  <si>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</si>
  <si>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</si>
  <si>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</si>
  <si>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</si>
  <si>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</si>
  <si>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</si>
  <si>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</si>
  <si>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</si>
  <si>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</si>
  <si>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</si>
  <si>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</si>
  <si>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</si>
  <si>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Month</t>
  </si>
  <si>
    <t>Cumulative</t>
  </si>
  <si>
    <t>PPP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</si>
</sst>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0" fillId="0" borderId="0" xfId="0"/>
    <xf numFmtId="0" fontId="5" fillId="0" borderId="1" xfId="0" applyFont="1" applyBorder="1" applyAlignment="1">
      <alignment horizontal="center"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167" fontId="0" fillId="0" borderId="0" xfId="1" applyNumberFormat="1" applyFont="1"/>
    <xf numFmtId="0" fontId="0" fillId="0" borderId="13" xfId="0" applyBorder="1" applyAlignment="1">
      <alignment horizontal="center"/>
    </xf>
    <xf numFmtId="167" fontId="0" fillId="2" borderId="0" xfId="1" applyNumberFormat="1" applyFont="1" applyFill="1"/>
    <xf numFmtId="0" fontId="0" fillId="0" borderId="13" xfId="0" applyBorder="1" applyAlignment="1">
      <alignment horizontal="center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474059</xdr:colOff>
      <xdr:row>0</xdr:row>
      <xdr:rowOff>37407</xdr:rowOff>
    </xdr:from>
    <xdr:to>
      <xdr:col>13</xdr:col>
      <xdr:colOff>514350</xdr:colOff>
      <xdr:row>22</xdr:row>
      <xdr:rowOff>161924</xdr:rowOff>
    </xdr:to>
    <xdr:pic>
      <xdr:nvPicPr>
        <xdr:cNvPr id="2" name="Picture 1" descr="Home - WOW Hockey">
          <a:extLst>
            <a:ext uri="{FF2B5EF4-FFF2-40B4-BE49-F238E27FC236}">
              <a16:creationId xmlns:a16="http://schemas.microsoft.com/office/drawing/2014/main" id="{2321D0C8-9612-4FF8-9E3D-7B5B2714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2459" y="37407"/>
          <a:ext cx="5526691" cy="431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12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15E6-79D0-4E30-B2FA-144B1E92D9F4}">
  <dimension ref="A1"/>
  <sheetViews>
    <sheetView showGridLines="0"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abSelected="1" topLeftCell="B7" zoomScale="120" zoomScaleNormal="120" workbookViewId="0">
      <pane xSplit="3" ySplit="2" topLeftCell="K9" activePane="bottomRight" state="frozen"/>
      <selection activeCell="B7" sqref="B7"/>
      <selection pane="topRight" activeCell="E7" sqref="E7"/>
      <selection pane="bottomLeft" activeCell="B9" sqref="B9"/>
      <selection pane="bottomRight" activeCell="D11" sqref="D11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96" t="s">
        <v>143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24" s="41" customFormat="1" ht="26.25" customHeight="1" x14ac:dyDescent="0.2">
      <c r="A2" s="96" t="s">
        <v>144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24" s="41" customFormat="1" ht="26.25" x14ac:dyDescent="0.4">
      <c r="A3" s="97" t="s">
        <v>159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24" s="41" customFormat="1" ht="26.25" x14ac:dyDescent="0.4">
      <c r="A4" s="97" t="s">
        <v>160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24" s="41" customFormat="1" ht="26.25" x14ac:dyDescent="0.2">
      <c r="A5" s="98" t="s">
        <v>145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161</v>
      </c>
      <c r="F8" s="44" t="s">
        <v>162</v>
      </c>
      <c r="G8" s="44" t="s">
        <v>163</v>
      </c>
      <c r="H8" s="44" t="s">
        <v>164</v>
      </c>
      <c r="I8" s="44" t="s">
        <v>165</v>
      </c>
      <c r="J8" s="44" t="s">
        <v>166</v>
      </c>
      <c r="K8" s="44" t="s">
        <v>167</v>
      </c>
      <c r="L8" s="44" t="s">
        <v>168</v>
      </c>
      <c r="M8" s="44" t="s">
        <v>169</v>
      </c>
      <c r="N8" s="44" t="s">
        <v>194</v>
      </c>
      <c r="O8" s="45" t="s">
        <v>170</v>
      </c>
      <c r="P8" s="46"/>
    </row>
    <row r="9" spans="1:24" s="41" customFormat="1" ht="23.25" x14ac:dyDescent="0.35">
      <c r="A9" s="26"/>
      <c r="B9" s="47" t="s">
        <v>171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172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173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1726935/10^6</f>
        <v>1.7269350000000001</v>
      </c>
      <c r="O12" s="57">
        <f>SUM(E12:N12)</f>
        <v>14.004598989999998</v>
      </c>
      <c r="P12" s="50"/>
    </row>
    <row r="13" spans="1:24" s="41" customFormat="1" ht="18" customHeight="1" x14ac:dyDescent="0.3">
      <c r="B13" s="54" t="s">
        <v>174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-891746/10^6</f>
        <v>-0.89174600000000004</v>
      </c>
      <c r="O13" s="57">
        <f t="shared" ref="O13:O15" si="2">SUM(E13:N13)</f>
        <v>-11.63836892</v>
      </c>
      <c r="P13" s="50"/>
      <c r="W13" s="41" t="s">
        <v>175</v>
      </c>
    </row>
    <row r="14" spans="1:24" s="41" customFormat="1" ht="18" customHeight="1" x14ac:dyDescent="0.3">
      <c r="B14" s="54" t="s">
        <v>176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+(58202-31776)/10^6</f>
        <v>2.6426000000000002E-2</v>
      </c>
      <c r="O14" s="57">
        <f t="shared" si="2"/>
        <v>7.2597830400000003</v>
      </c>
      <c r="P14" s="50"/>
    </row>
    <row r="15" spans="1:24" s="41" customFormat="1" ht="18" customHeight="1" x14ac:dyDescent="0.3">
      <c r="B15" s="54" t="s">
        <v>177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-73509/10^6</f>
        <v>-7.3509000000000005E-2</v>
      </c>
      <c r="O15" s="93">
        <f t="shared" si="2"/>
        <v>-0.93707143000000026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74</v>
      </c>
      <c r="W16" s="63">
        <v>1638838.98</v>
      </c>
    </row>
    <row r="17" spans="1:24" s="41" customFormat="1" ht="19.5" thickBot="1" x14ac:dyDescent="0.35">
      <c r="B17" s="54" t="s">
        <v>178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15.468868140000001</v>
      </c>
      <c r="O17" s="65">
        <f>SUM(O11:O15)</f>
        <v>15.468868139999998</v>
      </c>
      <c r="P17" s="66"/>
      <c r="V17" s="41" t="s">
        <v>73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72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-4.7083E-2</v>
      </c>
      <c r="O19" s="56"/>
      <c r="V19" s="69" t="s">
        <v>179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-3.0437262489975557E-3</v>
      </c>
      <c r="O20" s="71"/>
      <c r="V20" s="41" t="s">
        <v>71</v>
      </c>
      <c r="W20" s="63">
        <v>1711871.0999999999</v>
      </c>
    </row>
    <row r="21" spans="1:24" s="41" customFormat="1" ht="18.75" customHeight="1" x14ac:dyDescent="0.25">
      <c r="A21" s="26"/>
      <c r="B21" s="72" t="s">
        <v>180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70</v>
      </c>
      <c r="W21" s="63">
        <v>-85190.720000000001</v>
      </c>
    </row>
    <row r="22" spans="1:24" s="41" customFormat="1" ht="18.75" customHeight="1" x14ac:dyDescent="0.25">
      <c r="A22" s="26"/>
      <c r="B22" s="72" t="s">
        <v>181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69</v>
      </c>
      <c r="W22" s="63">
        <v>3563003.53</v>
      </c>
    </row>
    <row r="23" spans="1:24" ht="18.75" x14ac:dyDescent="0.3">
      <c r="A23" s="73"/>
      <c r="B23" s="74"/>
      <c r="V23" s="26" t="s">
        <v>67</v>
      </c>
      <c r="W23" s="61"/>
    </row>
    <row r="24" spans="1:24" ht="24" thickBot="1" x14ac:dyDescent="0.4">
      <c r="A24" s="73"/>
      <c r="B24" s="47" t="s">
        <v>182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66</v>
      </c>
      <c r="W24" s="61"/>
    </row>
    <row r="25" spans="1:24" ht="15.75" thickTop="1" x14ac:dyDescent="0.25">
      <c r="M25" s="26">
        <v>17</v>
      </c>
      <c r="V25" s="26" t="s">
        <v>65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183</v>
      </c>
      <c r="C29" s="76" t="s">
        <v>184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185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186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187</v>
      </c>
    </row>
    <row r="33" spans="2:10" x14ac:dyDescent="0.25">
      <c r="B33" s="77" t="s">
        <v>188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189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190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191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192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193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A7" zoomScale="120" zoomScaleNormal="120" workbookViewId="0">
      <selection activeCell="D31" sqref="D31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99" t="s">
        <v>143</v>
      </c>
      <c r="C1" s="99"/>
      <c r="D1" s="99"/>
      <c r="E1" s="99"/>
      <c r="F1" s="99"/>
    </row>
    <row r="2" spans="2:24" ht="21" x14ac:dyDescent="0.25">
      <c r="B2" s="99" t="s">
        <v>144</v>
      </c>
      <c r="C2" s="99"/>
      <c r="D2" s="99"/>
      <c r="E2" s="99"/>
      <c r="F2" s="99"/>
    </row>
    <row r="3" spans="2:24" ht="21" customHeight="1" x14ac:dyDescent="0.25">
      <c r="B3" s="99" t="s">
        <v>199</v>
      </c>
      <c r="C3" s="99"/>
      <c r="D3" s="99"/>
      <c r="E3" s="99"/>
      <c r="F3" s="99"/>
    </row>
    <row r="4" spans="2:24" ht="18" customHeight="1" x14ac:dyDescent="0.25">
      <c r="B4" s="99" t="s">
        <v>145</v>
      </c>
      <c r="C4" s="99"/>
      <c r="D4" s="99"/>
      <c r="E4" s="99"/>
      <c r="F4" s="99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200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146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147</v>
      </c>
      <c r="D11" s="23"/>
      <c r="E11" s="17"/>
      <c r="F11" s="24">
        <v>3145965.81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148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149</v>
      </c>
      <c r="C16" s="22"/>
      <c r="D16" s="27"/>
      <c r="F16" s="20">
        <v>6968912.9000000004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150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151</v>
      </c>
      <c r="C21" s="22"/>
      <c r="D21" s="25"/>
      <c r="F21" s="20">
        <v>832758.55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195</v>
      </c>
      <c r="F24" s="32">
        <v>4513618.2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152</v>
      </c>
      <c r="F27" s="34">
        <v>498131.64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153</v>
      </c>
      <c r="F29" s="36">
        <f>SUM(F11:F28)</f>
        <v>15959387.100000001</v>
      </c>
      <c r="H29" s="25">
        <f>15923293.57+231332</f>
        <v>16154625.57</v>
      </c>
      <c r="I29" s="10" t="s">
        <v>197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154</v>
      </c>
      <c r="F34" s="35">
        <f>+F29-F27</f>
        <v>15461255.460000001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155</v>
      </c>
    </row>
    <row r="39" spans="2:24" x14ac:dyDescent="0.25">
      <c r="D39" s="91"/>
      <c r="E39" s="91"/>
      <c r="F39" s="40"/>
      <c r="X39" s="10" t="s">
        <v>156</v>
      </c>
    </row>
    <row r="40" spans="2:24" x14ac:dyDescent="0.25">
      <c r="D40" s="91"/>
      <c r="E40" s="91"/>
      <c r="F40" s="40"/>
      <c r="X40" s="10" t="s">
        <v>157</v>
      </c>
    </row>
    <row r="41" spans="2:24" x14ac:dyDescent="0.25">
      <c r="F41" s="40"/>
      <c r="X41" s="10" t="s">
        <v>158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topLeftCell="A55" workbookViewId="0">
      <selection activeCell="B70" sqref="B70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02" t="s">
        <v>59</v>
      </c>
      <c r="B1" s="101"/>
    </row>
    <row r="2" spans="1:2" ht="18" x14ac:dyDescent="0.25">
      <c r="A2" s="102" t="s">
        <v>60</v>
      </c>
      <c r="B2" s="101"/>
    </row>
    <row r="3" spans="1:2" x14ac:dyDescent="0.25">
      <c r="A3" s="103" t="s">
        <v>201</v>
      </c>
      <c r="B3" s="101"/>
    </row>
    <row r="5" spans="1:2" x14ac:dyDescent="0.25">
      <c r="A5" s="1"/>
      <c r="B5" s="89" t="s">
        <v>0</v>
      </c>
    </row>
    <row r="6" spans="1:2" x14ac:dyDescent="0.25">
      <c r="A6" s="4" t="s">
        <v>1</v>
      </c>
      <c r="B6" s="3"/>
    </row>
    <row r="7" spans="1:2" x14ac:dyDescent="0.25">
      <c r="A7" s="4" t="s">
        <v>2</v>
      </c>
      <c r="B7" s="3"/>
    </row>
    <row r="8" spans="1:2" x14ac:dyDescent="0.25">
      <c r="A8" s="4" t="s">
        <v>3</v>
      </c>
      <c r="B8" s="3"/>
    </row>
    <row r="9" spans="1:2" x14ac:dyDescent="0.25">
      <c r="A9" s="4" t="s">
        <v>4</v>
      </c>
      <c r="B9" s="8">
        <f>0</f>
        <v>0</v>
      </c>
    </row>
    <row r="10" spans="1:2" x14ac:dyDescent="0.25">
      <c r="A10" s="4" t="s">
        <v>5</v>
      </c>
      <c r="B10" s="8">
        <f>5849.63</f>
        <v>5849.63</v>
      </c>
    </row>
    <row r="11" spans="1:2" x14ac:dyDescent="0.25">
      <c r="A11" s="4" t="s">
        <v>6</v>
      </c>
      <c r="B11" s="8">
        <f>377101.46</f>
        <v>377101.46</v>
      </c>
    </row>
    <row r="12" spans="1:2" x14ac:dyDescent="0.25">
      <c r="A12" s="4" t="s">
        <v>7</v>
      </c>
      <c r="B12" s="8">
        <f>8090.62</f>
        <v>8090.62</v>
      </c>
    </row>
    <row r="13" spans="1:2" x14ac:dyDescent="0.25">
      <c r="A13" s="4" t="s">
        <v>8</v>
      </c>
      <c r="B13" s="8">
        <f>-84.73</f>
        <v>-84.73</v>
      </c>
    </row>
    <row r="14" spans="1:2" x14ac:dyDescent="0.25">
      <c r="A14" s="4" t="s">
        <v>9</v>
      </c>
      <c r="B14" s="6">
        <f>((((B9)+(B10))+(B11))+(B12))+(B13)</f>
        <v>390956.98000000004</v>
      </c>
    </row>
    <row r="15" spans="1:2" x14ac:dyDescent="0.25">
      <c r="A15" s="4" t="s">
        <v>10</v>
      </c>
      <c r="B15" s="3"/>
    </row>
    <row r="16" spans="1:2" x14ac:dyDescent="0.25">
      <c r="A16" s="4" t="s">
        <v>11</v>
      </c>
      <c r="B16" s="8">
        <f>5000</f>
        <v>5000</v>
      </c>
    </row>
    <row r="17" spans="1:2" x14ac:dyDescent="0.25">
      <c r="A17" s="4" t="s">
        <v>12</v>
      </c>
      <c r="B17" s="6">
        <f>B16</f>
        <v>5000</v>
      </c>
    </row>
    <row r="18" spans="1:2" x14ac:dyDescent="0.25">
      <c r="A18" s="4" t="s">
        <v>13</v>
      </c>
      <c r="B18" s="3"/>
    </row>
    <row r="19" spans="1:2" x14ac:dyDescent="0.25">
      <c r="A19" s="4" t="s">
        <v>14</v>
      </c>
      <c r="B19" s="8">
        <f>0</f>
        <v>0</v>
      </c>
    </row>
    <row r="20" spans="1:2" x14ac:dyDescent="0.25">
      <c r="A20" s="4" t="s">
        <v>15</v>
      </c>
      <c r="B20" s="6">
        <f>B19</f>
        <v>0</v>
      </c>
    </row>
    <row r="21" spans="1:2" x14ac:dyDescent="0.25">
      <c r="A21" s="4" t="s">
        <v>16</v>
      </c>
      <c r="B21" s="6">
        <f>((B14)+(B17))+(B20)</f>
        <v>395956.98000000004</v>
      </c>
    </row>
    <row r="22" spans="1:2" x14ac:dyDescent="0.25">
      <c r="A22" s="4" t="s">
        <v>17</v>
      </c>
      <c r="B22" s="3"/>
    </row>
    <row r="23" spans="1:2" x14ac:dyDescent="0.25">
      <c r="A23" s="4" t="s">
        <v>18</v>
      </c>
      <c r="B23" s="8">
        <f>2328.97</f>
        <v>2328.9699999999998</v>
      </c>
    </row>
    <row r="24" spans="1:2" x14ac:dyDescent="0.25">
      <c r="A24" s="4" t="s">
        <v>19</v>
      </c>
      <c r="B24" s="8">
        <f>-1099.61</f>
        <v>-1099.6099999999999</v>
      </c>
    </row>
    <row r="25" spans="1:2" x14ac:dyDescent="0.25">
      <c r="A25" s="4" t="s">
        <v>20</v>
      </c>
      <c r="B25" s="6">
        <f>(B23)+(B24)</f>
        <v>1229.3599999999999</v>
      </c>
    </row>
    <row r="26" spans="1:2" x14ac:dyDescent="0.25">
      <c r="A26" s="4" t="s">
        <v>21</v>
      </c>
      <c r="B26" s="6">
        <f>B25</f>
        <v>1229.3599999999999</v>
      </c>
    </row>
    <row r="27" spans="1:2" x14ac:dyDescent="0.25">
      <c r="A27" s="4" t="s">
        <v>22</v>
      </c>
      <c r="B27" s="3"/>
    </row>
    <row r="28" spans="1:2" x14ac:dyDescent="0.25">
      <c r="A28" s="4" t="s">
        <v>23</v>
      </c>
      <c r="B28" s="3"/>
    </row>
    <row r="29" spans="1:2" x14ac:dyDescent="0.25">
      <c r="A29" s="4" t="s">
        <v>24</v>
      </c>
      <c r="B29" s="8">
        <f>12813421.29</f>
        <v>12813421.289999999</v>
      </c>
    </row>
    <row r="30" spans="1:2" x14ac:dyDescent="0.25">
      <c r="A30" s="4" t="s">
        <v>25</v>
      </c>
      <c r="B30" s="8">
        <f>3139198.44</f>
        <v>3139198.44</v>
      </c>
    </row>
    <row r="31" spans="1:2" x14ac:dyDescent="0.25">
      <c r="A31" s="4" t="s">
        <v>26</v>
      </c>
      <c r="B31" s="8">
        <f>6767.37</f>
        <v>6767.37</v>
      </c>
    </row>
    <row r="32" spans="1:2" x14ac:dyDescent="0.25">
      <c r="A32" s="4" t="s">
        <v>27</v>
      </c>
      <c r="B32" s="6">
        <f>(((B28)+(B29))+(B30))+(B31)</f>
        <v>15959387.099999998</v>
      </c>
    </row>
    <row r="33" spans="1:2" x14ac:dyDescent="0.25">
      <c r="A33" s="4" t="s">
        <v>28</v>
      </c>
      <c r="B33" s="8">
        <f>0</f>
        <v>0</v>
      </c>
    </row>
    <row r="34" spans="1:2" x14ac:dyDescent="0.25">
      <c r="A34" s="4" t="s">
        <v>29</v>
      </c>
      <c r="B34" s="8">
        <f>0</f>
        <v>0</v>
      </c>
    </row>
    <row r="35" spans="1:2" x14ac:dyDescent="0.25">
      <c r="A35" s="4" t="s">
        <v>30</v>
      </c>
      <c r="B35" s="6">
        <f>(B33)+(B34)</f>
        <v>0</v>
      </c>
    </row>
    <row r="36" spans="1:2" x14ac:dyDescent="0.25">
      <c r="A36" s="4" t="s">
        <v>31</v>
      </c>
      <c r="B36" s="8">
        <f>54546.89</f>
        <v>54546.89</v>
      </c>
    </row>
    <row r="37" spans="1:2" x14ac:dyDescent="0.25">
      <c r="A37" s="4" t="s">
        <v>32</v>
      </c>
      <c r="B37" s="8">
        <f>10561.69</f>
        <v>10561.69</v>
      </c>
    </row>
    <row r="38" spans="1:2" x14ac:dyDescent="0.25">
      <c r="A38" s="4" t="s">
        <v>33</v>
      </c>
      <c r="B38" s="8">
        <f>0</f>
        <v>0</v>
      </c>
    </row>
    <row r="39" spans="1:2" x14ac:dyDescent="0.25">
      <c r="A39" s="4" t="s">
        <v>34</v>
      </c>
      <c r="B39" s="8">
        <f>0</f>
        <v>0</v>
      </c>
    </row>
    <row r="40" spans="1:2" x14ac:dyDescent="0.25">
      <c r="A40" s="4" t="s">
        <v>35</v>
      </c>
      <c r="B40" s="8">
        <f>0</f>
        <v>0</v>
      </c>
    </row>
    <row r="41" spans="1:2" x14ac:dyDescent="0.25">
      <c r="A41" s="4" t="s">
        <v>36</v>
      </c>
      <c r="B41" s="6">
        <f>((((((B32)+(B35))+(B36))+(B37))+(B38))+(B39))+(B40)</f>
        <v>16024495.679999998</v>
      </c>
    </row>
    <row r="42" spans="1:2" x14ac:dyDescent="0.25">
      <c r="A42" s="4" t="s">
        <v>37</v>
      </c>
      <c r="B42" s="6">
        <f>((B21)+(B26))+(B41)</f>
        <v>16421682.019999998</v>
      </c>
    </row>
    <row r="43" spans="1:2" x14ac:dyDescent="0.25">
      <c r="A43" s="4" t="s">
        <v>38</v>
      </c>
      <c r="B43" s="3"/>
    </row>
    <row r="44" spans="1:2" x14ac:dyDescent="0.25">
      <c r="A44" s="4" t="s">
        <v>39</v>
      </c>
      <c r="B44" s="3"/>
    </row>
    <row r="45" spans="1:2" x14ac:dyDescent="0.25">
      <c r="A45" s="4" t="s">
        <v>40</v>
      </c>
      <c r="B45" s="3"/>
    </row>
    <row r="46" spans="1:2" x14ac:dyDescent="0.25">
      <c r="A46" s="4" t="s">
        <v>41</v>
      </c>
      <c r="B46" s="3"/>
    </row>
    <row r="47" spans="1:2" x14ac:dyDescent="0.25">
      <c r="A47" s="4" t="s">
        <v>42</v>
      </c>
      <c r="B47" s="8">
        <f>677.77</f>
        <v>677.77</v>
      </c>
    </row>
    <row r="48" spans="1:2" x14ac:dyDescent="0.25">
      <c r="A48" s="4" t="s">
        <v>43</v>
      </c>
      <c r="B48" s="6">
        <f>B47</f>
        <v>677.77</v>
      </c>
    </row>
    <row r="49" spans="1:2" x14ac:dyDescent="0.25">
      <c r="A49" s="4" t="s">
        <v>44</v>
      </c>
      <c r="B49" s="3"/>
    </row>
    <row r="50" spans="1:2" x14ac:dyDescent="0.25">
      <c r="A50" s="4" t="s">
        <v>45</v>
      </c>
      <c r="B50" s="8">
        <f>27625</f>
        <v>27625</v>
      </c>
    </row>
    <row r="51" spans="1:2" x14ac:dyDescent="0.25">
      <c r="A51" s="4" t="s">
        <v>46</v>
      </c>
      <c r="B51" s="8">
        <f>21399.99</f>
        <v>21399.99</v>
      </c>
    </row>
    <row r="52" spans="1:2" x14ac:dyDescent="0.25">
      <c r="A52" s="4" t="s">
        <v>47</v>
      </c>
      <c r="B52" s="8">
        <f>3145966.18</f>
        <v>3145966.18</v>
      </c>
    </row>
    <row r="53" spans="1:2" x14ac:dyDescent="0.25">
      <c r="A53" s="4" t="s">
        <v>48</v>
      </c>
      <c r="B53" s="6">
        <f>((B50)+(B51))+(B52)</f>
        <v>3194991.1700000004</v>
      </c>
    </row>
    <row r="54" spans="1:2" x14ac:dyDescent="0.25">
      <c r="A54" s="4" t="s">
        <v>49</v>
      </c>
      <c r="B54" s="6">
        <f>(B48)+(B53)</f>
        <v>3195668.9400000004</v>
      </c>
    </row>
    <row r="55" spans="1:2" x14ac:dyDescent="0.25">
      <c r="A55" s="4" t="s">
        <v>50</v>
      </c>
      <c r="B55" s="6">
        <f>B54</f>
        <v>3195668.9400000004</v>
      </c>
    </row>
    <row r="56" spans="1:2" x14ac:dyDescent="0.25">
      <c r="A56" s="4" t="s">
        <v>51</v>
      </c>
      <c r="B56" s="3"/>
    </row>
    <row r="57" spans="1:2" x14ac:dyDescent="0.25">
      <c r="A57" s="4" t="s">
        <v>52</v>
      </c>
      <c r="B57" s="8">
        <f>3957837.96</f>
        <v>3957837.96</v>
      </c>
    </row>
    <row r="58" spans="1:2" x14ac:dyDescent="0.25">
      <c r="A58" s="4" t="s">
        <v>53</v>
      </c>
      <c r="B58" s="8">
        <f>4037882.57</f>
        <v>4037882.57</v>
      </c>
    </row>
    <row r="59" spans="1:2" x14ac:dyDescent="0.25">
      <c r="A59" s="4" t="s">
        <v>54</v>
      </c>
      <c r="B59" s="8">
        <f>822279.07</f>
        <v>822279.07</v>
      </c>
    </row>
    <row r="60" spans="1:2" x14ac:dyDescent="0.25">
      <c r="A60" s="4" t="s">
        <v>55</v>
      </c>
      <c r="B60" s="8">
        <f>4129912.54</f>
        <v>4129912.54</v>
      </c>
    </row>
    <row r="61" spans="1:2" x14ac:dyDescent="0.25">
      <c r="A61" s="4" t="s">
        <v>56</v>
      </c>
      <c r="B61" s="8">
        <f>278100.94</f>
        <v>278100.94</v>
      </c>
    </row>
    <row r="62" spans="1:2" x14ac:dyDescent="0.25">
      <c r="A62" s="4" t="s">
        <v>57</v>
      </c>
      <c r="B62" s="6">
        <f>((((B57)+(B58))+(B59))+(B60))+(B61)</f>
        <v>13226013.08</v>
      </c>
    </row>
    <row r="63" spans="1:2" x14ac:dyDescent="0.25">
      <c r="A63" s="4" t="s">
        <v>58</v>
      </c>
      <c r="B63" s="6">
        <f>(B55)+(B62)</f>
        <v>16421682.02</v>
      </c>
    </row>
    <row r="64" spans="1:2" x14ac:dyDescent="0.25">
      <c r="A64" s="4"/>
      <c r="B64" s="3"/>
    </row>
    <row r="65" spans="1:2" x14ac:dyDescent="0.25">
      <c r="A65" s="104" t="s">
        <v>61</v>
      </c>
      <c r="B65" s="104"/>
    </row>
    <row r="66" spans="1:2" x14ac:dyDescent="0.25">
      <c r="A66" s="94"/>
      <c r="B66" s="94"/>
    </row>
    <row r="67" spans="1:2" x14ac:dyDescent="0.25">
      <c r="A67" s="100" t="s">
        <v>202</v>
      </c>
      <c r="B67" s="101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K90"/>
  <sheetViews>
    <sheetView topLeftCell="A4" zoomScale="120" zoomScaleNormal="120" workbookViewId="0">
      <pane xSplit="1" ySplit="3" topLeftCell="B7" activePane="bottomRight" state="frozen"/>
      <selection activeCell="A4" sqref="A4"/>
      <selection pane="topRight" activeCell="B4" sqref="B4"/>
      <selection pane="bottomLeft" activeCell="A7" sqref="A7"/>
      <selection pane="bottomRight" sqref="A1:E1"/>
    </sheetView>
  </sheetViews>
  <sheetFormatPr defaultRowHeight="15" x14ac:dyDescent="0.25"/>
  <cols>
    <col min="1" max="1" width="40.42578125" customWidth="1"/>
    <col min="2" max="5" width="16.28515625" customWidth="1"/>
    <col min="8" max="9" width="11.5703125" bestFit="1" customWidth="1"/>
    <col min="10" max="10" width="11.28515625" bestFit="1" customWidth="1"/>
    <col min="11" max="11" width="12.28515625" bestFit="1" customWidth="1"/>
  </cols>
  <sheetData>
    <row r="1" spans="1:10" ht="18" x14ac:dyDescent="0.25">
      <c r="A1" s="102" t="s">
        <v>59</v>
      </c>
      <c r="B1" s="101"/>
      <c r="C1" s="101"/>
      <c r="D1" s="101"/>
      <c r="E1" s="101"/>
    </row>
    <row r="2" spans="1:10" ht="18" x14ac:dyDescent="0.25">
      <c r="A2" s="102" t="s">
        <v>131</v>
      </c>
      <c r="B2" s="101"/>
      <c r="C2" s="101"/>
      <c r="D2" s="101"/>
      <c r="E2" s="101"/>
    </row>
    <row r="3" spans="1:10" x14ac:dyDescent="0.25">
      <c r="A3" s="103" t="s">
        <v>198</v>
      </c>
      <c r="B3" s="101"/>
      <c r="C3" s="101"/>
      <c r="D3" s="101"/>
      <c r="E3" s="101"/>
    </row>
    <row r="5" spans="1:10" x14ac:dyDescent="0.25">
      <c r="A5" s="1"/>
      <c r="B5" s="105" t="s">
        <v>0</v>
      </c>
      <c r="C5" s="106"/>
      <c r="D5" s="106"/>
      <c r="E5" s="106"/>
    </row>
    <row r="6" spans="1:10" x14ac:dyDescent="0.25">
      <c r="A6" s="1"/>
      <c r="B6" s="9" t="s">
        <v>130</v>
      </c>
      <c r="C6" s="9" t="s">
        <v>129</v>
      </c>
      <c r="D6" s="9" t="s">
        <v>128</v>
      </c>
      <c r="E6" s="9" t="s">
        <v>127</v>
      </c>
      <c r="H6" s="86" t="s">
        <v>130</v>
      </c>
      <c r="I6" s="86" t="s">
        <v>129</v>
      </c>
      <c r="J6" s="86" t="s">
        <v>128</v>
      </c>
    </row>
    <row r="7" spans="1:10" x14ac:dyDescent="0.25">
      <c r="A7" s="4" t="s">
        <v>126</v>
      </c>
      <c r="B7" s="3"/>
      <c r="C7" s="3"/>
      <c r="D7" s="3"/>
      <c r="E7" s="3"/>
    </row>
    <row r="8" spans="1:10" x14ac:dyDescent="0.25">
      <c r="A8" s="4" t="s">
        <v>125</v>
      </c>
      <c r="B8" s="3"/>
      <c r="C8" s="3"/>
      <c r="D8" s="8">
        <f t="shared" ref="D8:D16" si="0">(B8)-(C8)</f>
        <v>0</v>
      </c>
      <c r="E8" s="7" t="str">
        <f t="shared" ref="E8:E16" si="1">IF(C8=0,"",(B8)/(C8))</f>
        <v/>
      </c>
    </row>
    <row r="9" spans="1:10" x14ac:dyDescent="0.25">
      <c r="A9" s="4" t="s">
        <v>124</v>
      </c>
      <c r="B9" s="8">
        <f>21233.14</f>
        <v>21233.14</v>
      </c>
      <c r="C9" s="8">
        <f>19500</f>
        <v>19500</v>
      </c>
      <c r="D9" s="8">
        <f t="shared" si="0"/>
        <v>1733.1399999999994</v>
      </c>
      <c r="E9" s="7">
        <f t="shared" si="1"/>
        <v>1.0888789743589744</v>
      </c>
    </row>
    <row r="10" spans="1:10" x14ac:dyDescent="0.25">
      <c r="A10" s="4" t="s">
        <v>123</v>
      </c>
      <c r="B10" s="3"/>
      <c r="C10" s="3"/>
      <c r="D10" s="8">
        <f t="shared" si="0"/>
        <v>0</v>
      </c>
      <c r="E10" s="7" t="str">
        <f t="shared" si="1"/>
        <v/>
      </c>
    </row>
    <row r="11" spans="1:10" x14ac:dyDescent="0.25">
      <c r="A11" s="4" t="s">
        <v>122</v>
      </c>
      <c r="B11" s="8">
        <f>73359.28</f>
        <v>73359.28</v>
      </c>
      <c r="C11" s="8">
        <f>75000</f>
        <v>75000</v>
      </c>
      <c r="D11" s="8">
        <f t="shared" si="0"/>
        <v>-1640.7200000000012</v>
      </c>
      <c r="E11" s="7">
        <f t="shared" si="1"/>
        <v>0.97812373333333336</v>
      </c>
    </row>
    <row r="12" spans="1:10" x14ac:dyDescent="0.25">
      <c r="A12" s="4" t="s">
        <v>121</v>
      </c>
      <c r="B12" s="6">
        <f>(B10)+(B11)</f>
        <v>73359.28</v>
      </c>
      <c r="C12" s="6">
        <f>(C10)+(C11)</f>
        <v>75000</v>
      </c>
      <c r="D12" s="6">
        <f t="shared" si="0"/>
        <v>-1640.7200000000012</v>
      </c>
      <c r="E12" s="5">
        <f t="shared" si="1"/>
        <v>0.97812373333333336</v>
      </c>
    </row>
    <row r="13" spans="1:10" x14ac:dyDescent="0.25">
      <c r="A13" s="4" t="s">
        <v>120</v>
      </c>
      <c r="B13" s="6">
        <f>((B8)+(B9))+(B12)</f>
        <v>94592.42</v>
      </c>
      <c r="C13" s="6">
        <f>((C8)+(C9))+(C12)</f>
        <v>94500</v>
      </c>
      <c r="D13" s="6">
        <f t="shared" si="0"/>
        <v>92.419999999998254</v>
      </c>
      <c r="E13" s="5">
        <f t="shared" si="1"/>
        <v>1.0009779894179893</v>
      </c>
    </row>
    <row r="14" spans="1:10" x14ac:dyDescent="0.25">
      <c r="A14" s="4" t="s">
        <v>119</v>
      </c>
      <c r="B14" s="8">
        <f>19.85</f>
        <v>19.850000000000001</v>
      </c>
      <c r="C14" s="3"/>
      <c r="D14" s="8">
        <f t="shared" si="0"/>
        <v>19.850000000000001</v>
      </c>
      <c r="E14" s="7" t="str">
        <f t="shared" si="1"/>
        <v/>
      </c>
    </row>
    <row r="15" spans="1:10" x14ac:dyDescent="0.25">
      <c r="A15" s="4" t="s">
        <v>118</v>
      </c>
      <c r="B15" s="6">
        <f>(B13)+(B14)</f>
        <v>94612.27</v>
      </c>
      <c r="C15" s="6">
        <f>(C13)+(C14)</f>
        <v>94500</v>
      </c>
      <c r="D15" s="6">
        <f t="shared" si="0"/>
        <v>112.27000000000407</v>
      </c>
      <c r="E15" s="5">
        <f t="shared" si="1"/>
        <v>1.0011880423280424</v>
      </c>
    </row>
    <row r="16" spans="1:10" x14ac:dyDescent="0.25">
      <c r="A16" s="4" t="s">
        <v>117</v>
      </c>
      <c r="B16" s="6">
        <f>(B15)-(0)</f>
        <v>94612.27</v>
      </c>
      <c r="C16" s="6">
        <f>(C15)-(0)</f>
        <v>94500</v>
      </c>
      <c r="D16" s="6">
        <f t="shared" si="0"/>
        <v>112.27000000000407</v>
      </c>
      <c r="E16" s="5">
        <f t="shared" si="1"/>
        <v>1.0011880423280424</v>
      </c>
      <c r="H16" s="81">
        <f>+B16</f>
        <v>94612.27</v>
      </c>
      <c r="I16" s="81">
        <f>+C16</f>
        <v>94500</v>
      </c>
      <c r="J16" s="82">
        <f>+H16-I16</f>
        <v>112.27000000000407</v>
      </c>
    </row>
    <row r="17" spans="1:10" x14ac:dyDescent="0.25">
      <c r="A17" s="4" t="s">
        <v>116</v>
      </c>
      <c r="B17" s="3"/>
      <c r="C17" s="3"/>
      <c r="D17" s="3"/>
      <c r="E17" s="3"/>
    </row>
    <row r="18" spans="1:10" x14ac:dyDescent="0.25">
      <c r="A18" s="4" t="s">
        <v>115</v>
      </c>
      <c r="B18" s="8">
        <f>366.79</f>
        <v>366.79</v>
      </c>
      <c r="C18" s="8">
        <f>1041.65</f>
        <v>1041.6500000000001</v>
      </c>
      <c r="D18" s="8">
        <f t="shared" ref="D18:D58" si="2">(B18)-(C18)</f>
        <v>-674.86000000000013</v>
      </c>
      <c r="E18" s="7">
        <f t="shared" ref="E18:E58" si="3">IF(C18=0,"",(B18)/(C18))</f>
        <v>0.35212403398454373</v>
      </c>
    </row>
    <row r="19" spans="1:10" x14ac:dyDescent="0.25">
      <c r="A19" s="4" t="s">
        <v>114</v>
      </c>
      <c r="B19" s="8">
        <f>112.88</f>
        <v>112.88</v>
      </c>
      <c r="C19" s="8">
        <f>41.65</f>
        <v>41.65</v>
      </c>
      <c r="D19" s="8">
        <f t="shared" si="2"/>
        <v>71.22999999999999</v>
      </c>
      <c r="E19" s="7">
        <f t="shared" si="3"/>
        <v>2.7102040816326531</v>
      </c>
    </row>
    <row r="20" spans="1:10" x14ac:dyDescent="0.25">
      <c r="A20" s="4" t="s">
        <v>113</v>
      </c>
      <c r="B20" s="8">
        <f>900</f>
        <v>900</v>
      </c>
      <c r="C20" s="8">
        <f>500</f>
        <v>500</v>
      </c>
      <c r="D20" s="8">
        <f t="shared" si="2"/>
        <v>400</v>
      </c>
      <c r="E20" s="7">
        <f t="shared" si="3"/>
        <v>1.8</v>
      </c>
    </row>
    <row r="21" spans="1:10" x14ac:dyDescent="0.25">
      <c r="A21" s="4" t="s">
        <v>112</v>
      </c>
      <c r="B21" s="3"/>
      <c r="C21" s="8">
        <f>625</f>
        <v>625</v>
      </c>
      <c r="D21" s="8">
        <f t="shared" si="2"/>
        <v>-625</v>
      </c>
      <c r="E21" s="7">
        <f t="shared" si="3"/>
        <v>0</v>
      </c>
    </row>
    <row r="22" spans="1:10" x14ac:dyDescent="0.25">
      <c r="A22" s="4" t="s">
        <v>111</v>
      </c>
      <c r="B22" s="8">
        <f>267.81</f>
        <v>267.81</v>
      </c>
      <c r="C22" s="8">
        <f>527</f>
        <v>527</v>
      </c>
      <c r="D22" s="8">
        <f t="shared" si="2"/>
        <v>-259.19</v>
      </c>
      <c r="E22" s="7">
        <f t="shared" si="3"/>
        <v>0.50817836812144213</v>
      </c>
    </row>
    <row r="23" spans="1:10" x14ac:dyDescent="0.25">
      <c r="A23" s="4" t="s">
        <v>110</v>
      </c>
      <c r="B23" s="3"/>
      <c r="C23" s="8">
        <f>416.65</f>
        <v>416.65</v>
      </c>
      <c r="D23" s="8">
        <f t="shared" si="2"/>
        <v>-416.65</v>
      </c>
      <c r="E23" s="7">
        <f t="shared" si="3"/>
        <v>0</v>
      </c>
    </row>
    <row r="24" spans="1:10" x14ac:dyDescent="0.25">
      <c r="A24" s="4" t="s">
        <v>109</v>
      </c>
      <c r="B24" s="8">
        <f>15000</f>
        <v>15000</v>
      </c>
      <c r="C24" s="8">
        <f>14750</f>
        <v>14750</v>
      </c>
      <c r="D24" s="8">
        <f t="shared" si="2"/>
        <v>250</v>
      </c>
      <c r="E24" s="7">
        <f t="shared" si="3"/>
        <v>1.0169491525423728</v>
      </c>
    </row>
    <row r="25" spans="1:10" x14ac:dyDescent="0.25">
      <c r="A25" s="4" t="s">
        <v>108</v>
      </c>
      <c r="B25" s="3"/>
      <c r="C25" s="8">
        <f>41.65</f>
        <v>41.65</v>
      </c>
      <c r="D25" s="8">
        <f t="shared" si="2"/>
        <v>-41.65</v>
      </c>
      <c r="E25" s="7">
        <f t="shared" si="3"/>
        <v>0</v>
      </c>
    </row>
    <row r="26" spans="1:10" x14ac:dyDescent="0.25">
      <c r="A26" s="4" t="s">
        <v>107</v>
      </c>
      <c r="B26" s="8">
        <f>500</f>
        <v>500</v>
      </c>
      <c r="C26" s="8">
        <f>833.35</f>
        <v>833.35</v>
      </c>
      <c r="D26" s="8">
        <f t="shared" si="2"/>
        <v>-333.35</v>
      </c>
      <c r="E26" s="7">
        <f t="shared" si="3"/>
        <v>0.59998800023999521</v>
      </c>
    </row>
    <row r="27" spans="1:10" x14ac:dyDescent="0.25">
      <c r="A27" s="4" t="s">
        <v>203</v>
      </c>
      <c r="B27" s="8">
        <f>55.5</f>
        <v>55.5</v>
      </c>
      <c r="C27" s="3"/>
      <c r="D27" s="8">
        <f t="shared" si="2"/>
        <v>55.5</v>
      </c>
      <c r="E27" s="7" t="str">
        <f t="shared" si="3"/>
        <v/>
      </c>
      <c r="H27" s="83">
        <f>SUM(B18:B27)</f>
        <v>17202.98</v>
      </c>
      <c r="I27" s="83">
        <f>SUM(C18:C28)</f>
        <v>18985.3</v>
      </c>
      <c r="J27" s="80">
        <f>+I27-H27</f>
        <v>1782.3199999999997</v>
      </c>
    </row>
    <row r="28" spans="1:10" x14ac:dyDescent="0.25">
      <c r="A28" s="4" t="s">
        <v>106</v>
      </c>
      <c r="B28" s="3"/>
      <c r="C28" s="8">
        <f>208.35</f>
        <v>208.35</v>
      </c>
      <c r="D28" s="8">
        <f t="shared" si="2"/>
        <v>-208.35</v>
      </c>
      <c r="E28" s="7">
        <f t="shared" si="3"/>
        <v>0</v>
      </c>
    </row>
    <row r="29" spans="1:10" x14ac:dyDescent="0.25">
      <c r="A29" s="4" t="s">
        <v>105</v>
      </c>
      <c r="B29" s="3"/>
      <c r="C29" s="3"/>
      <c r="D29" s="8">
        <f t="shared" si="2"/>
        <v>0</v>
      </c>
      <c r="E29" s="7" t="str">
        <f t="shared" si="3"/>
        <v/>
      </c>
    </row>
    <row r="30" spans="1:10" x14ac:dyDescent="0.25">
      <c r="A30" s="4" t="s">
        <v>104</v>
      </c>
      <c r="B30" s="8">
        <f>2423.75</f>
        <v>2423.75</v>
      </c>
      <c r="C30" s="8">
        <f>2083.35</f>
        <v>2083.35</v>
      </c>
      <c r="D30" s="8">
        <f t="shared" si="2"/>
        <v>340.40000000000009</v>
      </c>
      <c r="E30" s="7">
        <f t="shared" si="3"/>
        <v>1.1633906928744571</v>
      </c>
    </row>
    <row r="31" spans="1:10" x14ac:dyDescent="0.25">
      <c r="A31" s="4" t="s">
        <v>103</v>
      </c>
      <c r="B31" s="8">
        <f>47712.4</f>
        <v>47712.4</v>
      </c>
      <c r="C31" s="8">
        <f>48750</f>
        <v>48750</v>
      </c>
      <c r="D31" s="8">
        <f t="shared" si="2"/>
        <v>-1037.5999999999985</v>
      </c>
      <c r="E31" s="7">
        <f t="shared" si="3"/>
        <v>0.97871589743589749</v>
      </c>
    </row>
    <row r="32" spans="1:10" x14ac:dyDescent="0.25">
      <c r="A32" s="4" t="s">
        <v>102</v>
      </c>
      <c r="B32" s="8">
        <f>530.42</f>
        <v>530.41999999999996</v>
      </c>
      <c r="C32" s="8">
        <f>541.65</f>
        <v>541.65</v>
      </c>
      <c r="D32" s="8">
        <f t="shared" si="2"/>
        <v>-11.230000000000018</v>
      </c>
      <c r="E32" s="7">
        <f t="shared" si="3"/>
        <v>0.97926705437090367</v>
      </c>
      <c r="H32" s="83">
        <f>+B34</f>
        <v>55216.04</v>
      </c>
      <c r="I32" s="83">
        <f>+C34</f>
        <v>56250</v>
      </c>
      <c r="J32" s="80">
        <f>+I32-H32</f>
        <v>1033.9599999999991</v>
      </c>
    </row>
    <row r="33" spans="1:10" x14ac:dyDescent="0.25">
      <c r="A33" s="4" t="s">
        <v>101</v>
      </c>
      <c r="B33" s="8">
        <f>4549.47</f>
        <v>4549.47</v>
      </c>
      <c r="C33" s="8">
        <f>4875</f>
        <v>4875</v>
      </c>
      <c r="D33" s="8">
        <f t="shared" si="2"/>
        <v>-325.52999999999975</v>
      </c>
      <c r="E33" s="7">
        <f t="shared" si="3"/>
        <v>0.93322461538461543</v>
      </c>
    </row>
    <row r="34" spans="1:10" x14ac:dyDescent="0.25">
      <c r="A34" s="4" t="s">
        <v>100</v>
      </c>
      <c r="B34" s="6">
        <f>((((B29)+(B30))+(B31))+(B32))+(B33)</f>
        <v>55216.04</v>
      </c>
      <c r="C34" s="6">
        <f>((((C29)+(C30))+(C31))+(C32))+(C33)</f>
        <v>56250</v>
      </c>
      <c r="D34" s="6">
        <f t="shared" si="2"/>
        <v>-1033.9599999999991</v>
      </c>
      <c r="E34" s="5">
        <f t="shared" si="3"/>
        <v>0.98161848888888892</v>
      </c>
    </row>
    <row r="35" spans="1:10" x14ac:dyDescent="0.25">
      <c r="A35" s="4" t="s">
        <v>99</v>
      </c>
      <c r="B35" s="3"/>
      <c r="C35" s="3"/>
      <c r="D35" s="8">
        <f t="shared" si="2"/>
        <v>0</v>
      </c>
      <c r="E35" s="7" t="str">
        <f t="shared" si="3"/>
        <v/>
      </c>
    </row>
    <row r="36" spans="1:10" x14ac:dyDescent="0.25">
      <c r="A36" s="4" t="s">
        <v>98</v>
      </c>
      <c r="B36" s="8">
        <f>11000</f>
        <v>11000</v>
      </c>
      <c r="C36" s="8">
        <f>11000</f>
        <v>11000</v>
      </c>
      <c r="D36" s="8">
        <f t="shared" si="2"/>
        <v>0</v>
      </c>
      <c r="E36" s="7">
        <f t="shared" si="3"/>
        <v>1</v>
      </c>
    </row>
    <row r="37" spans="1:10" x14ac:dyDescent="0.25">
      <c r="A37" s="4" t="s">
        <v>97</v>
      </c>
      <c r="B37" s="8">
        <f>2000</f>
        <v>2000</v>
      </c>
      <c r="C37" s="8">
        <f>0</f>
        <v>0</v>
      </c>
      <c r="D37" s="8">
        <f t="shared" si="2"/>
        <v>2000</v>
      </c>
      <c r="E37" s="7" t="str">
        <f t="shared" si="3"/>
        <v/>
      </c>
    </row>
    <row r="38" spans="1:10" x14ac:dyDescent="0.25">
      <c r="A38" s="4" t="s">
        <v>96</v>
      </c>
      <c r="B38" s="3"/>
      <c r="C38" s="8">
        <f>2083.35</f>
        <v>2083.35</v>
      </c>
      <c r="D38" s="8">
        <f t="shared" si="2"/>
        <v>-2083.35</v>
      </c>
      <c r="E38" s="7">
        <f t="shared" si="3"/>
        <v>0</v>
      </c>
      <c r="H38" s="81">
        <f>+B39</f>
        <v>13000</v>
      </c>
      <c r="I38" s="81">
        <f>+C39</f>
        <v>13083.35</v>
      </c>
      <c r="J38" s="82">
        <f>+I38-H38</f>
        <v>83.350000000000364</v>
      </c>
    </row>
    <row r="39" spans="1:10" x14ac:dyDescent="0.25">
      <c r="A39" s="4" t="s">
        <v>95</v>
      </c>
      <c r="B39" s="6">
        <f>(((B35)+(B36))+(B37))+(B38)</f>
        <v>13000</v>
      </c>
      <c r="C39" s="6">
        <f>(((C35)+(C36))+(C37))+(C38)</f>
        <v>13083.35</v>
      </c>
      <c r="D39" s="6">
        <f t="shared" si="2"/>
        <v>-83.350000000000364</v>
      </c>
      <c r="E39" s="5">
        <f t="shared" si="3"/>
        <v>0.99362930747858913</v>
      </c>
    </row>
    <row r="40" spans="1:10" x14ac:dyDescent="0.25">
      <c r="A40" s="4" t="s">
        <v>94</v>
      </c>
      <c r="B40" s="3"/>
      <c r="C40" s="3"/>
      <c r="D40" s="8">
        <f t="shared" si="2"/>
        <v>0</v>
      </c>
      <c r="E40" s="7" t="str">
        <f t="shared" si="3"/>
        <v/>
      </c>
    </row>
    <row r="41" spans="1:10" x14ac:dyDescent="0.25">
      <c r="A41" s="4" t="s">
        <v>93</v>
      </c>
      <c r="B41" s="8">
        <f>0</f>
        <v>0</v>
      </c>
      <c r="C41" s="3"/>
      <c r="D41" s="8">
        <f t="shared" si="2"/>
        <v>0</v>
      </c>
      <c r="E41" s="7" t="str">
        <f t="shared" si="3"/>
        <v/>
      </c>
    </row>
    <row r="42" spans="1:10" x14ac:dyDescent="0.25">
      <c r="A42" s="4" t="s">
        <v>92</v>
      </c>
      <c r="B42" s="8">
        <f>5191.56</f>
        <v>5191.5600000000004</v>
      </c>
      <c r="C42" s="8">
        <f>4500</f>
        <v>4500</v>
      </c>
      <c r="D42" s="8">
        <f t="shared" si="2"/>
        <v>691.5600000000004</v>
      </c>
      <c r="E42" s="7">
        <f t="shared" si="3"/>
        <v>1.15368</v>
      </c>
      <c r="H42" s="81">
        <f>+B42</f>
        <v>5191.5600000000004</v>
      </c>
      <c r="I42" s="81">
        <f>+C42</f>
        <v>4500</v>
      </c>
      <c r="J42" s="82">
        <f>+I42-H42</f>
        <v>-691.5600000000004</v>
      </c>
    </row>
    <row r="43" spans="1:10" x14ac:dyDescent="0.25">
      <c r="A43" s="4" t="s">
        <v>91</v>
      </c>
      <c r="B43" s="6">
        <f>((B40)+(B41))+(B42)</f>
        <v>5191.5600000000004</v>
      </c>
      <c r="C43" s="6">
        <f>((C40)+(C41))+(C42)</f>
        <v>4500</v>
      </c>
      <c r="D43" s="6">
        <f t="shared" si="2"/>
        <v>691.5600000000004</v>
      </c>
      <c r="E43" s="5">
        <f t="shared" si="3"/>
        <v>1.15368</v>
      </c>
    </row>
    <row r="44" spans="1:10" x14ac:dyDescent="0.25">
      <c r="A44" s="4" t="s">
        <v>90</v>
      </c>
      <c r="B44" s="3"/>
      <c r="C44" s="3"/>
      <c r="D44" s="8">
        <f t="shared" si="2"/>
        <v>0</v>
      </c>
      <c r="E44" s="7" t="str">
        <f t="shared" si="3"/>
        <v/>
      </c>
    </row>
    <row r="45" spans="1:10" x14ac:dyDescent="0.25">
      <c r="A45" s="4" t="s">
        <v>89</v>
      </c>
      <c r="B45" s="3"/>
      <c r="C45" s="8">
        <f>225</f>
        <v>225</v>
      </c>
      <c r="D45" s="8">
        <f t="shared" si="2"/>
        <v>-225</v>
      </c>
      <c r="E45" s="7">
        <f t="shared" si="3"/>
        <v>0</v>
      </c>
    </row>
    <row r="46" spans="1:10" x14ac:dyDescent="0.25">
      <c r="A46" s="4" t="s">
        <v>88</v>
      </c>
      <c r="B46" s="8">
        <f>518.98</f>
        <v>518.98</v>
      </c>
      <c r="C46" s="8">
        <f>500</f>
        <v>500</v>
      </c>
      <c r="D46" s="8">
        <f t="shared" si="2"/>
        <v>18.980000000000018</v>
      </c>
      <c r="E46" s="7">
        <f t="shared" si="3"/>
        <v>1.03796</v>
      </c>
    </row>
    <row r="47" spans="1:10" x14ac:dyDescent="0.25">
      <c r="A47" s="4" t="s">
        <v>87</v>
      </c>
      <c r="B47" s="8">
        <f>62.91</f>
        <v>62.91</v>
      </c>
      <c r="C47" s="8">
        <f>1250</f>
        <v>1250</v>
      </c>
      <c r="D47" s="8">
        <f t="shared" si="2"/>
        <v>-1187.0899999999999</v>
      </c>
      <c r="E47" s="7">
        <f t="shared" si="3"/>
        <v>5.0327999999999998E-2</v>
      </c>
    </row>
    <row r="48" spans="1:10" x14ac:dyDescent="0.25">
      <c r="A48" s="4" t="s">
        <v>86</v>
      </c>
      <c r="B48" s="8">
        <f>1220.61</f>
        <v>1220.6099999999999</v>
      </c>
      <c r="C48" s="8">
        <f>1041.65</f>
        <v>1041.6500000000001</v>
      </c>
      <c r="D48" s="8">
        <f t="shared" si="2"/>
        <v>178.95999999999981</v>
      </c>
      <c r="E48" s="7">
        <f t="shared" si="3"/>
        <v>1.1718043488695817</v>
      </c>
    </row>
    <row r="49" spans="1:11" x14ac:dyDescent="0.25">
      <c r="A49" s="4" t="s">
        <v>85</v>
      </c>
      <c r="B49" s="8">
        <f>140</f>
        <v>140</v>
      </c>
      <c r="C49" s="8">
        <f>100</f>
        <v>100</v>
      </c>
      <c r="D49" s="8">
        <f t="shared" si="2"/>
        <v>40</v>
      </c>
      <c r="E49" s="7">
        <f t="shared" si="3"/>
        <v>1.4</v>
      </c>
    </row>
    <row r="50" spans="1:11" x14ac:dyDescent="0.25">
      <c r="A50" s="4" t="s">
        <v>84</v>
      </c>
      <c r="B50" s="8">
        <f>977.75</f>
        <v>977.75</v>
      </c>
      <c r="C50" s="8">
        <f>416.65</f>
        <v>416.65</v>
      </c>
      <c r="D50" s="8">
        <f t="shared" si="2"/>
        <v>561.1</v>
      </c>
      <c r="E50" s="7">
        <f t="shared" si="3"/>
        <v>2.3466938677547104</v>
      </c>
      <c r="H50" s="81">
        <f>+B51</f>
        <v>2920.25</v>
      </c>
      <c r="I50" s="81">
        <f>+C51</f>
        <v>3533.3</v>
      </c>
      <c r="J50" s="82">
        <f>+I50-H50</f>
        <v>613.05000000000018</v>
      </c>
    </row>
    <row r="51" spans="1:11" x14ac:dyDescent="0.25">
      <c r="A51" s="4" t="s">
        <v>83</v>
      </c>
      <c r="B51" s="6">
        <f>((((((B44)+(B45))+(B46))+(B47))+(B48))+(B49))+(B50)</f>
        <v>2920.25</v>
      </c>
      <c r="C51" s="6">
        <f>((((((C44)+(C45))+(C46))+(C47))+(C48))+(C49))+(C50)</f>
        <v>3533.3</v>
      </c>
      <c r="D51" s="6">
        <f t="shared" si="2"/>
        <v>-613.05000000000018</v>
      </c>
      <c r="E51" s="5">
        <f t="shared" si="3"/>
        <v>0.82649364616647325</v>
      </c>
      <c r="H51" s="81"/>
    </row>
    <row r="52" spans="1:11" x14ac:dyDescent="0.25">
      <c r="A52" s="4" t="s">
        <v>82</v>
      </c>
      <c r="B52" s="3"/>
      <c r="C52" s="3"/>
      <c r="D52" s="8">
        <f t="shared" si="2"/>
        <v>0</v>
      </c>
      <c r="E52" s="7" t="str">
        <f t="shared" si="3"/>
        <v/>
      </c>
    </row>
    <row r="53" spans="1:11" x14ac:dyDescent="0.25">
      <c r="A53" s="4" t="s">
        <v>81</v>
      </c>
      <c r="B53" s="8">
        <f>630.75</f>
        <v>630.75</v>
      </c>
      <c r="C53" s="8">
        <f>833.35</f>
        <v>833.35</v>
      </c>
      <c r="D53" s="8">
        <f t="shared" si="2"/>
        <v>-202.60000000000002</v>
      </c>
      <c r="E53" s="7">
        <f t="shared" si="3"/>
        <v>0.75688486230275387</v>
      </c>
    </row>
    <row r="54" spans="1:11" x14ac:dyDescent="0.25">
      <c r="A54" s="4" t="s">
        <v>80</v>
      </c>
      <c r="B54" s="3"/>
      <c r="C54" s="8">
        <f>208.35</f>
        <v>208.35</v>
      </c>
      <c r="D54" s="8">
        <f t="shared" si="2"/>
        <v>-208.35</v>
      </c>
      <c r="E54" s="7">
        <f t="shared" si="3"/>
        <v>0</v>
      </c>
    </row>
    <row r="55" spans="1:11" x14ac:dyDescent="0.25">
      <c r="A55" s="4" t="s">
        <v>79</v>
      </c>
      <c r="B55" s="8">
        <f>13.61</f>
        <v>13.61</v>
      </c>
      <c r="C55" s="3"/>
      <c r="D55" s="8">
        <f t="shared" si="2"/>
        <v>13.61</v>
      </c>
      <c r="E55" s="7" t="str">
        <f t="shared" si="3"/>
        <v/>
      </c>
      <c r="H55" s="81">
        <f>+B56</f>
        <v>644.36</v>
      </c>
      <c r="I55" s="81">
        <f>+C56</f>
        <v>1041.7</v>
      </c>
      <c r="J55" s="82">
        <f>+I55-H55</f>
        <v>397.34000000000003</v>
      </c>
      <c r="K55" s="92">
        <f>SUM(J26:J55)</f>
        <v>3218.4599999999991</v>
      </c>
    </row>
    <row r="56" spans="1:11" x14ac:dyDescent="0.25">
      <c r="A56" s="4" t="s">
        <v>78</v>
      </c>
      <c r="B56" s="6">
        <f>(((B52)+(B53))+(B54))+(B55)</f>
        <v>644.36</v>
      </c>
      <c r="C56" s="6">
        <f>(((C52)+(C53))+(C54))+(C55)</f>
        <v>1041.7</v>
      </c>
      <c r="D56" s="6">
        <f t="shared" si="2"/>
        <v>-397.34000000000003</v>
      </c>
      <c r="E56" s="5">
        <f t="shared" si="3"/>
        <v>0.6185658058942114</v>
      </c>
      <c r="H56" s="87"/>
      <c r="I56">
        <v>0</v>
      </c>
      <c r="J56" s="80">
        <f>+I56-H56</f>
        <v>0</v>
      </c>
    </row>
    <row r="57" spans="1:11" x14ac:dyDescent="0.25">
      <c r="A57" s="4" t="s">
        <v>77</v>
      </c>
      <c r="B57" s="6">
        <f>(((((((((((((((B18)+(B19))+(B20))+(B21))+(B22))+(B23))+(B24))+(B25))+(B26))+(B27))+(B28))+(B34))+(B39))+(B43))+(B51))+(B56)</f>
        <v>94175.19</v>
      </c>
      <c r="C57" s="6">
        <f>(((((((((((((((C18)+(C19))+(C20))+(C21))+(C22))+(C23))+(C24))+(C25))+(C26))+(C27))+(C28))+(C34))+(C39))+(C43))+(C51))+(C56)</f>
        <v>97393.650000000009</v>
      </c>
      <c r="D57" s="6">
        <f t="shared" si="2"/>
        <v>-3218.4600000000064</v>
      </c>
      <c r="E57" s="5">
        <f t="shared" si="3"/>
        <v>0.96695410840439799</v>
      </c>
      <c r="H57" s="84">
        <f>SUM(H27:H56)</f>
        <v>94175.19</v>
      </c>
      <c r="I57" s="84">
        <f>SUM(I27:I56)</f>
        <v>97393.650000000009</v>
      </c>
      <c r="J57" s="85">
        <f>+I57-H57</f>
        <v>3218.4600000000064</v>
      </c>
      <c r="K57" s="80"/>
    </row>
    <row r="58" spans="1:11" x14ac:dyDescent="0.25">
      <c r="A58" s="4" t="s">
        <v>76</v>
      </c>
      <c r="B58" s="6">
        <f>(B16)-(B57)</f>
        <v>437.08000000000175</v>
      </c>
      <c r="C58" s="6">
        <f>(C16)-(C57)</f>
        <v>-2893.6500000000087</v>
      </c>
      <c r="D58" s="6">
        <f t="shared" si="2"/>
        <v>3330.7300000000105</v>
      </c>
      <c r="E58" s="5">
        <f t="shared" si="3"/>
        <v>-0.15104798437958994</v>
      </c>
      <c r="H58" s="92">
        <f>+H16-H57</f>
        <v>437.08000000000175</v>
      </c>
      <c r="I58" s="92">
        <f>+I16-I57</f>
        <v>-2893.6500000000087</v>
      </c>
      <c r="J58" s="92">
        <f>+H58-I58</f>
        <v>3330.7300000000105</v>
      </c>
      <c r="K58" s="82"/>
    </row>
    <row r="59" spans="1:11" x14ac:dyDescent="0.25">
      <c r="A59" s="4" t="s">
        <v>75</v>
      </c>
      <c r="B59" s="3"/>
      <c r="C59" s="3"/>
      <c r="D59" s="3"/>
      <c r="E59" s="3"/>
    </row>
    <row r="60" spans="1:11" x14ac:dyDescent="0.25">
      <c r="A60" s="4" t="s">
        <v>74</v>
      </c>
      <c r="B60" s="8">
        <f>1194911.74</f>
        <v>1194911.74</v>
      </c>
      <c r="C60" s="3"/>
      <c r="D60" s="8">
        <f t="shared" ref="D60:D67" si="4">(B60)-(C60)</f>
        <v>1194911.74</v>
      </c>
      <c r="E60" s="7" t="str">
        <f t="shared" ref="E60:E67" si="5">IF(C60=0,"",(B60)/(C60))</f>
        <v/>
      </c>
    </row>
    <row r="61" spans="1:11" x14ac:dyDescent="0.25">
      <c r="A61" s="4" t="s">
        <v>73</v>
      </c>
      <c r="B61" s="3"/>
      <c r="C61" s="3"/>
      <c r="D61" s="8">
        <f t="shared" si="4"/>
        <v>0</v>
      </c>
      <c r="E61" s="7" t="str">
        <f t="shared" si="5"/>
        <v/>
      </c>
    </row>
    <row r="62" spans="1:11" x14ac:dyDescent="0.25">
      <c r="A62" s="4" t="s">
        <v>72</v>
      </c>
      <c r="B62" s="8">
        <f>47945.37</f>
        <v>47945.37</v>
      </c>
      <c r="C62" s="3"/>
      <c r="D62" s="8">
        <f t="shared" si="4"/>
        <v>47945.37</v>
      </c>
      <c r="E62" s="7" t="str">
        <f t="shared" si="5"/>
        <v/>
      </c>
    </row>
    <row r="63" spans="1:11" x14ac:dyDescent="0.25">
      <c r="A63" s="4" t="s">
        <v>71</v>
      </c>
      <c r="B63" s="8">
        <f>-14596.89</f>
        <v>-14596.89</v>
      </c>
      <c r="C63" s="3"/>
      <c r="D63" s="8">
        <f t="shared" si="4"/>
        <v>-14596.89</v>
      </c>
      <c r="E63" s="7" t="str">
        <f t="shared" si="5"/>
        <v/>
      </c>
    </row>
    <row r="64" spans="1:11" x14ac:dyDescent="0.25">
      <c r="A64" s="4" t="s">
        <v>70</v>
      </c>
      <c r="B64" s="8">
        <f>-60028.09</f>
        <v>-60028.09</v>
      </c>
      <c r="C64" s="3"/>
      <c r="D64" s="8">
        <f t="shared" si="4"/>
        <v>-60028.09</v>
      </c>
      <c r="E64" s="7" t="str">
        <f t="shared" si="5"/>
        <v/>
      </c>
    </row>
    <row r="65" spans="1:7" x14ac:dyDescent="0.25">
      <c r="A65" s="4" t="s">
        <v>69</v>
      </c>
      <c r="B65" s="6">
        <f>(((B61)+(B62))+(B63))+(B64)</f>
        <v>-26679.609999999993</v>
      </c>
      <c r="C65" s="6">
        <f>(((C61)+(C62))+(C63))+(C64)</f>
        <v>0</v>
      </c>
      <c r="D65" s="6">
        <f t="shared" si="4"/>
        <v>-26679.609999999993</v>
      </c>
      <c r="E65" s="5" t="str">
        <f t="shared" si="5"/>
        <v/>
      </c>
    </row>
    <row r="66" spans="1:7" x14ac:dyDescent="0.25">
      <c r="A66" s="4" t="s">
        <v>68</v>
      </c>
      <c r="B66" s="3"/>
      <c r="C66" s="8">
        <f>27625</f>
        <v>27625</v>
      </c>
      <c r="D66" s="8">
        <f t="shared" si="4"/>
        <v>-27625</v>
      </c>
      <c r="E66" s="7">
        <f t="shared" si="5"/>
        <v>0</v>
      </c>
    </row>
    <row r="67" spans="1:7" x14ac:dyDescent="0.25">
      <c r="A67" s="4" t="s">
        <v>67</v>
      </c>
      <c r="B67" s="6">
        <f>((B60)+(B65))+(B66)</f>
        <v>1168232.1299999999</v>
      </c>
      <c r="C67" s="6">
        <f>((C60)+(C65))+(C66)</f>
        <v>27625</v>
      </c>
      <c r="D67" s="6">
        <f t="shared" si="4"/>
        <v>1140607.1299999999</v>
      </c>
      <c r="E67" s="5">
        <f t="shared" si="5"/>
        <v>42.288945882352934</v>
      </c>
    </row>
    <row r="68" spans="1:7" x14ac:dyDescent="0.25">
      <c r="A68" s="4" t="s">
        <v>66</v>
      </c>
      <c r="B68" s="3"/>
      <c r="C68" s="3"/>
      <c r="D68" s="3"/>
      <c r="E68" s="3"/>
    </row>
    <row r="69" spans="1:7" x14ac:dyDescent="0.25">
      <c r="A69" s="4" t="s">
        <v>65</v>
      </c>
      <c r="B69" s="8">
        <f>890568.27</f>
        <v>890568.27</v>
      </c>
      <c r="C69" s="3"/>
      <c r="D69" s="8">
        <f>(B69)-(C69)</f>
        <v>890568.27</v>
      </c>
      <c r="E69" s="7" t="str">
        <f>IF(C69=0,"",(B69)/(C69))</f>
        <v/>
      </c>
      <c r="F69">
        <v>102188.35</v>
      </c>
      <c r="G69" s="80">
        <f>+F69-D69</f>
        <v>-788379.92</v>
      </c>
    </row>
    <row r="70" spans="1:7" x14ac:dyDescent="0.25">
      <c r="A70" s="4" t="s">
        <v>64</v>
      </c>
      <c r="B70" s="6">
        <f>B69</f>
        <v>890568.27</v>
      </c>
      <c r="C70" s="6">
        <f>C69</f>
        <v>0</v>
      </c>
      <c r="D70" s="6">
        <f>(B70)-(C70)</f>
        <v>890568.27</v>
      </c>
      <c r="E70" s="5" t="str">
        <f>IF(C70=0,"",(B70)/(C70))</f>
        <v/>
      </c>
    </row>
    <row r="71" spans="1:7" x14ac:dyDescent="0.25">
      <c r="A71" s="4" t="s">
        <v>63</v>
      </c>
      <c r="B71" s="6">
        <f>(B67)-(B70)</f>
        <v>277663.85999999987</v>
      </c>
      <c r="C71" s="6">
        <f>(C67)-(C70)</f>
        <v>27625</v>
      </c>
      <c r="D71" s="6">
        <f>(B71)-(C71)</f>
        <v>250038.85999999987</v>
      </c>
      <c r="E71" s="5">
        <f>IF(C71=0,"",(B71)/(C71))</f>
        <v>10.051180452488683</v>
      </c>
    </row>
    <row r="72" spans="1:7" x14ac:dyDescent="0.25">
      <c r="A72" s="4" t="s">
        <v>62</v>
      </c>
      <c r="B72" s="6">
        <f>(B58)+(B71)</f>
        <v>278100.93999999989</v>
      </c>
      <c r="C72" s="6">
        <f>(C58)+(C71)</f>
        <v>24731.349999999991</v>
      </c>
      <c r="D72" s="6">
        <f>(B72)-(C72)</f>
        <v>253369.58999999991</v>
      </c>
      <c r="E72" s="5">
        <f>IF(C72=0,"",(B72)/(C72))</f>
        <v>11.244875027040578</v>
      </c>
    </row>
    <row r="73" spans="1:7" x14ac:dyDescent="0.25">
      <c r="A73" s="4"/>
      <c r="B73" s="3"/>
      <c r="C73" s="3"/>
      <c r="D73" s="3"/>
      <c r="E73" s="3"/>
    </row>
    <row r="74" spans="1:7" x14ac:dyDescent="0.25">
      <c r="A74" s="104" t="s">
        <v>61</v>
      </c>
      <c r="B74" s="104"/>
      <c r="C74" s="104"/>
      <c r="D74" s="104"/>
      <c r="E74" s="104"/>
    </row>
    <row r="75" spans="1:7" x14ac:dyDescent="0.25">
      <c r="A75" s="94"/>
      <c r="B75" s="94"/>
      <c r="C75" s="94"/>
      <c r="D75" s="94"/>
      <c r="E75" s="94"/>
    </row>
    <row r="76" spans="1:7" x14ac:dyDescent="0.25">
      <c r="A76" s="100" t="s">
        <v>204</v>
      </c>
      <c r="B76" s="101"/>
      <c r="C76" s="101"/>
      <c r="D76" s="101"/>
      <c r="E76" s="101"/>
    </row>
    <row r="77" spans="1:7" ht="15.75" thickBot="1" x14ac:dyDescent="0.3">
      <c r="A77" s="94"/>
      <c r="B77" s="108" t="s">
        <v>222</v>
      </c>
      <c r="C77" s="108"/>
      <c r="D77" s="110" t="s">
        <v>223</v>
      </c>
      <c r="E77" s="94"/>
    </row>
    <row r="78" spans="1:7" x14ac:dyDescent="0.25">
      <c r="B78" t="s">
        <v>210</v>
      </c>
      <c r="C78" s="107">
        <v>22541.67</v>
      </c>
      <c r="D78" s="107"/>
    </row>
    <row r="79" spans="1:7" x14ac:dyDescent="0.25">
      <c r="B79" t="s">
        <v>211</v>
      </c>
      <c r="C79" s="107">
        <v>-10644.33</v>
      </c>
      <c r="D79" s="107">
        <f>+C79+C78</f>
        <v>11897.339999999998</v>
      </c>
    </row>
    <row r="80" spans="1:7" x14ac:dyDescent="0.25">
      <c r="B80" t="s">
        <v>212</v>
      </c>
      <c r="C80" s="107">
        <f>13516.67-27625</f>
        <v>-14108.33</v>
      </c>
      <c r="D80" s="107">
        <f>+D79+C80</f>
        <v>-2210.9900000000016</v>
      </c>
    </row>
    <row r="81" spans="2:6" x14ac:dyDescent="0.25">
      <c r="B81" t="s">
        <v>213</v>
      </c>
      <c r="C81" s="107">
        <v>21716.67</v>
      </c>
      <c r="D81" s="107">
        <f>+D80+C81</f>
        <v>19505.679999999997</v>
      </c>
    </row>
    <row r="82" spans="2:6" x14ac:dyDescent="0.25">
      <c r="B82" t="s">
        <v>214</v>
      </c>
      <c r="C82" s="107">
        <v>-22399.33</v>
      </c>
      <c r="D82" s="109">
        <f>+D81+C82</f>
        <v>-2893.6500000000051</v>
      </c>
    </row>
    <row r="83" spans="2:6" x14ac:dyDescent="0.25">
      <c r="B83" t="s">
        <v>215</v>
      </c>
      <c r="C83" s="107">
        <v>-16408.330000000002</v>
      </c>
      <c r="D83" s="107">
        <f t="shared" ref="D83:D89" si="6">+D82+C83</f>
        <v>-19301.980000000007</v>
      </c>
    </row>
    <row r="84" spans="2:6" x14ac:dyDescent="0.25">
      <c r="B84" t="s">
        <v>216</v>
      </c>
      <c r="C84" s="107">
        <v>27041.67</v>
      </c>
      <c r="D84" s="107">
        <f t="shared" si="6"/>
        <v>7739.6899999999914</v>
      </c>
    </row>
    <row r="85" spans="2:6" x14ac:dyDescent="0.25">
      <c r="B85" t="s">
        <v>217</v>
      </c>
      <c r="C85" s="107">
        <v>-28925.33</v>
      </c>
      <c r="D85" s="107">
        <f t="shared" si="6"/>
        <v>-21185.64000000001</v>
      </c>
    </row>
    <row r="86" spans="2:6" x14ac:dyDescent="0.25">
      <c r="B86" t="s">
        <v>218</v>
      </c>
      <c r="C86" s="107">
        <v>-14958.33</v>
      </c>
      <c r="D86" s="107">
        <f t="shared" si="6"/>
        <v>-36143.970000000008</v>
      </c>
    </row>
    <row r="87" spans="2:6" x14ac:dyDescent="0.25">
      <c r="B87" t="s">
        <v>219</v>
      </c>
      <c r="C87" s="107">
        <v>23491.67</v>
      </c>
      <c r="D87" s="107">
        <f t="shared" si="6"/>
        <v>-12652.30000000001</v>
      </c>
    </row>
    <row r="88" spans="2:6" x14ac:dyDescent="0.25">
      <c r="B88" t="s">
        <v>220</v>
      </c>
      <c r="C88" s="107">
        <v>-22100.33</v>
      </c>
      <c r="D88" s="107">
        <f t="shared" si="6"/>
        <v>-34752.630000000012</v>
      </c>
    </row>
    <row r="89" spans="2:6" x14ac:dyDescent="0.25">
      <c r="B89" t="s">
        <v>221</v>
      </c>
      <c r="C89" s="107">
        <v>-13458.37</v>
      </c>
      <c r="D89" s="107">
        <f t="shared" si="6"/>
        <v>-48211.000000000015</v>
      </c>
      <c r="E89" s="107">
        <v>27625</v>
      </c>
      <c r="F89" s="76">
        <f>+D89+E89</f>
        <v>-20586.000000000015</v>
      </c>
    </row>
    <row r="90" spans="2:6" x14ac:dyDescent="0.25">
      <c r="C90" s="107"/>
      <c r="D90" s="107"/>
      <c r="E90" t="s">
        <v>224</v>
      </c>
    </row>
  </sheetData>
  <mergeCells count="7">
    <mergeCell ref="B77:C77"/>
    <mergeCell ref="B5:E5"/>
    <mergeCell ref="A76:E76"/>
    <mergeCell ref="A1:E1"/>
    <mergeCell ref="A2:E2"/>
    <mergeCell ref="A3:E3"/>
    <mergeCell ref="A74:E7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H11"/>
  <sheetViews>
    <sheetView workbookViewId="0">
      <selection activeCell="A9" sqref="A9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8" ht="18" x14ac:dyDescent="0.25">
      <c r="A1" s="102" t="s">
        <v>59</v>
      </c>
      <c r="B1" s="101"/>
      <c r="C1" s="101"/>
      <c r="D1" s="101"/>
      <c r="E1" s="101"/>
      <c r="F1" s="101"/>
      <c r="G1" s="101"/>
    </row>
    <row r="2" spans="1:8" ht="18" x14ac:dyDescent="0.25">
      <c r="A2" s="102" t="s">
        <v>138</v>
      </c>
      <c r="B2" s="101"/>
      <c r="C2" s="101"/>
      <c r="D2" s="101"/>
      <c r="E2" s="101"/>
      <c r="F2" s="101"/>
      <c r="G2" s="101"/>
    </row>
    <row r="3" spans="1:8" x14ac:dyDescent="0.25">
      <c r="A3" s="103" t="s">
        <v>201</v>
      </c>
      <c r="B3" s="101"/>
      <c r="C3" s="101"/>
      <c r="D3" s="101"/>
      <c r="E3" s="101"/>
      <c r="F3" s="101"/>
      <c r="G3" s="101"/>
    </row>
    <row r="5" spans="1:8" x14ac:dyDescent="0.25">
      <c r="A5" s="1"/>
      <c r="B5" s="95" t="s">
        <v>137</v>
      </c>
      <c r="C5" s="95" t="s">
        <v>136</v>
      </c>
      <c r="D5" s="95" t="s">
        <v>135</v>
      </c>
      <c r="E5" s="95" t="s">
        <v>134</v>
      </c>
      <c r="F5" s="95" t="s">
        <v>133</v>
      </c>
      <c r="G5" s="95" t="s">
        <v>0</v>
      </c>
      <c r="H5" s="94"/>
    </row>
    <row r="6" spans="1:8" ht="23.25" x14ac:dyDescent="0.25">
      <c r="A6" s="4" t="s">
        <v>205</v>
      </c>
      <c r="B6" s="3"/>
      <c r="C6" s="3"/>
      <c r="D6" s="3"/>
      <c r="E6" s="3"/>
      <c r="F6" s="8">
        <f>5000</f>
        <v>5000</v>
      </c>
      <c r="G6" s="8">
        <f>((((B6)+(C6))+(D6))+(E6))+(F6)</f>
        <v>5000</v>
      </c>
      <c r="H6" s="94"/>
    </row>
    <row r="7" spans="1:8" x14ac:dyDescent="0.25">
      <c r="A7" s="4" t="s">
        <v>132</v>
      </c>
      <c r="B7" s="6">
        <f>B6</f>
        <v>0</v>
      </c>
      <c r="C7" s="6">
        <f>C6</f>
        <v>0</v>
      </c>
      <c r="D7" s="6">
        <f>D6</f>
        <v>0</v>
      </c>
      <c r="E7" s="6">
        <f>E6</f>
        <v>0</v>
      </c>
      <c r="F7" s="6">
        <f>F6</f>
        <v>5000</v>
      </c>
      <c r="G7" s="6">
        <f>((((B7)+(C7))+(D7))+(E7))+(F7)</f>
        <v>5000</v>
      </c>
      <c r="H7" s="94"/>
    </row>
    <row r="8" spans="1:8" x14ac:dyDescent="0.25">
      <c r="A8" s="4"/>
      <c r="B8" s="3"/>
      <c r="C8" s="3"/>
      <c r="D8" s="3"/>
      <c r="E8" s="3"/>
      <c r="F8" s="3"/>
      <c r="G8" s="3"/>
      <c r="H8" s="94"/>
    </row>
    <row r="9" spans="1:8" x14ac:dyDescent="0.25">
      <c r="A9" s="94"/>
      <c r="B9" s="94"/>
      <c r="C9" s="94"/>
      <c r="D9" s="94"/>
      <c r="E9" s="94"/>
      <c r="F9" s="94"/>
      <c r="G9" s="94"/>
      <c r="H9" s="94"/>
    </row>
    <row r="10" spans="1:8" x14ac:dyDescent="0.25">
      <c r="A10" s="94"/>
      <c r="B10" s="94"/>
      <c r="C10" s="94"/>
      <c r="D10" s="94"/>
      <c r="E10" s="94"/>
      <c r="F10" s="94"/>
      <c r="G10" s="94"/>
      <c r="H10" s="94"/>
    </row>
    <row r="11" spans="1:8" x14ac:dyDescent="0.25">
      <c r="A11" s="100" t="s">
        <v>206</v>
      </c>
      <c r="B11" s="101"/>
      <c r="C11" s="101"/>
      <c r="D11" s="101"/>
      <c r="E11" s="101"/>
      <c r="F11" s="101"/>
      <c r="G11" s="101"/>
      <c r="H11" s="94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5"/>
  <sheetViews>
    <sheetView workbookViewId="0">
      <selection activeCell="A7" sqref="A7"/>
    </sheetView>
  </sheetViews>
  <sheetFormatPr defaultRowHeight="15" x14ac:dyDescent="0.25"/>
  <cols>
    <col min="1" max="1" width="31.85546875" style="88" customWidth="1"/>
    <col min="2" max="7" width="11.140625" style="88" customWidth="1"/>
    <col min="8" max="16384" width="9.140625" style="88"/>
  </cols>
  <sheetData>
    <row r="1" spans="1:7" ht="18" x14ac:dyDescent="0.25">
      <c r="A1" s="102" t="s">
        <v>59</v>
      </c>
      <c r="B1" s="101"/>
      <c r="C1" s="101"/>
      <c r="D1" s="101"/>
      <c r="E1" s="101"/>
      <c r="F1" s="101"/>
      <c r="G1" s="101"/>
    </row>
    <row r="2" spans="1:7" ht="18" x14ac:dyDescent="0.25">
      <c r="A2" s="102" t="s">
        <v>142</v>
      </c>
      <c r="B2" s="101"/>
      <c r="C2" s="101"/>
      <c r="D2" s="101"/>
      <c r="E2" s="101"/>
      <c r="F2" s="101"/>
      <c r="G2" s="101"/>
    </row>
    <row r="3" spans="1:7" x14ac:dyDescent="0.25">
      <c r="A3" s="103" t="s">
        <v>196</v>
      </c>
      <c r="B3" s="101"/>
      <c r="C3" s="101"/>
      <c r="D3" s="101"/>
      <c r="E3" s="101"/>
      <c r="F3" s="101"/>
      <c r="G3" s="101"/>
    </row>
    <row r="5" spans="1:7" x14ac:dyDescent="0.25">
      <c r="A5" s="1"/>
      <c r="B5" s="95" t="s">
        <v>137</v>
      </c>
      <c r="C5" s="95" t="s">
        <v>136</v>
      </c>
      <c r="D5" s="95" t="s">
        <v>135</v>
      </c>
      <c r="E5" s="95" t="s">
        <v>134</v>
      </c>
      <c r="F5" s="95" t="s">
        <v>133</v>
      </c>
      <c r="G5" s="95" t="s">
        <v>0</v>
      </c>
    </row>
    <row r="6" spans="1:7" x14ac:dyDescent="0.25">
      <c r="A6" s="4" t="s">
        <v>207</v>
      </c>
      <c r="B6" s="3"/>
      <c r="C6" s="8">
        <f>394.96</f>
        <v>394.96</v>
      </c>
      <c r="D6" s="3"/>
      <c r="E6" s="3"/>
      <c r="F6" s="3"/>
      <c r="G6" s="8">
        <f t="shared" ref="G6:G11" si="0">((((B6)+(C6))+(D6))+(E6))+(F6)</f>
        <v>394.96</v>
      </c>
    </row>
    <row r="7" spans="1:7" x14ac:dyDescent="0.25">
      <c r="A7" s="4" t="s">
        <v>141</v>
      </c>
      <c r="B7" s="8">
        <f>100</f>
        <v>100</v>
      </c>
      <c r="C7" s="3"/>
      <c r="D7" s="3"/>
      <c r="E7" s="3"/>
      <c r="F7" s="3"/>
      <c r="G7" s="8">
        <f t="shared" si="0"/>
        <v>100</v>
      </c>
    </row>
    <row r="8" spans="1:7" x14ac:dyDescent="0.25">
      <c r="A8" s="4" t="s">
        <v>140</v>
      </c>
      <c r="B8" s="8">
        <f>115</f>
        <v>115</v>
      </c>
      <c r="C8" s="3"/>
      <c r="D8" s="3"/>
      <c r="E8" s="3"/>
      <c r="F8" s="3"/>
      <c r="G8" s="8">
        <f t="shared" si="0"/>
        <v>115</v>
      </c>
    </row>
    <row r="9" spans="1:7" x14ac:dyDescent="0.25">
      <c r="A9" s="4" t="s">
        <v>139</v>
      </c>
      <c r="B9" s="3"/>
      <c r="C9" s="8">
        <f>-200</f>
        <v>-200</v>
      </c>
      <c r="D9" s="3"/>
      <c r="E9" s="3"/>
      <c r="F9" s="3"/>
      <c r="G9" s="8">
        <f t="shared" si="0"/>
        <v>-200</v>
      </c>
    </row>
    <row r="10" spans="1:7" x14ac:dyDescent="0.25">
      <c r="A10" s="4" t="s">
        <v>208</v>
      </c>
      <c r="B10" s="3"/>
      <c r="C10" s="8">
        <f>267.81</f>
        <v>267.81</v>
      </c>
      <c r="D10" s="3"/>
      <c r="E10" s="3"/>
      <c r="F10" s="3"/>
      <c r="G10" s="8">
        <f t="shared" si="0"/>
        <v>267.81</v>
      </c>
    </row>
    <row r="11" spans="1:7" x14ac:dyDescent="0.25">
      <c r="A11" s="4" t="s">
        <v>132</v>
      </c>
      <c r="B11" s="6">
        <f>((((B6)+(B7))+(B8))+(B9))+(B10)</f>
        <v>215</v>
      </c>
      <c r="C11" s="6">
        <f>((((C6)+(C7))+(C8))+(C9))+(C10)</f>
        <v>462.77</v>
      </c>
      <c r="D11" s="6">
        <f>((((D6)+(D7))+(D8))+(D9))+(D10)</f>
        <v>0</v>
      </c>
      <c r="E11" s="6">
        <f>((((E6)+(E7))+(E8))+(E9))+(E10)</f>
        <v>0</v>
      </c>
      <c r="F11" s="6">
        <f>((((F6)+(F7))+(F8))+(F9))+(F10)</f>
        <v>0</v>
      </c>
      <c r="G11" s="6">
        <f t="shared" si="0"/>
        <v>677.77</v>
      </c>
    </row>
    <row r="12" spans="1:7" x14ac:dyDescent="0.25">
      <c r="A12" s="4"/>
      <c r="B12" s="3"/>
      <c r="C12" s="3"/>
      <c r="D12" s="3"/>
      <c r="E12" s="3"/>
      <c r="F12" s="3"/>
      <c r="G12" s="3"/>
    </row>
    <row r="13" spans="1:7" x14ac:dyDescent="0.25">
      <c r="A13" s="94"/>
      <c r="B13" s="94"/>
      <c r="C13" s="94"/>
      <c r="D13" s="94"/>
      <c r="E13" s="94"/>
      <c r="F13" s="94"/>
      <c r="G13" s="94"/>
    </row>
    <row r="14" spans="1:7" x14ac:dyDescent="0.25">
      <c r="A14" s="94"/>
      <c r="B14" s="94"/>
      <c r="C14" s="94"/>
      <c r="D14" s="94"/>
      <c r="E14" s="94"/>
      <c r="F14" s="94"/>
      <c r="G14" s="94"/>
    </row>
    <row r="15" spans="1:7" x14ac:dyDescent="0.25">
      <c r="A15" s="100" t="s">
        <v>209</v>
      </c>
      <c r="B15" s="101"/>
      <c r="C15" s="101"/>
      <c r="D15" s="101"/>
      <c r="E15" s="101"/>
      <c r="F15" s="101"/>
      <c r="G15" s="101"/>
    </row>
  </sheetData>
  <mergeCells count="4">
    <mergeCell ref="A1:G1"/>
    <mergeCell ref="A2:G2"/>
    <mergeCell ref="A3:G3"/>
    <mergeCell ref="A15:G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2E3572-862C-4CC5-8585-623ACE7A9BC6}"/>
</file>

<file path=customXml/itemProps2.xml><?xml version="1.0" encoding="utf-8"?>
<ds:datastoreItem xmlns:ds="http://schemas.openxmlformats.org/officeDocument/2006/customXml" ds:itemID="{357800E5-9EFC-42BD-8F87-AFA065605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dcterms:created xsi:type="dcterms:W3CDTF">2021-09-20T13:27:09Z</dcterms:created>
  <dcterms:modified xsi:type="dcterms:W3CDTF">2021-12-21T01:37:43Z</dcterms:modified>
</cp:coreProperties>
</file>