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Oct 2021\"/>
    </mc:Choice>
  </mc:AlternateContent>
  <xr:revisionPtr revIDLastSave="0" documentId="13_ncr:1_{78AD5F57-9A49-4BC7-B94E-4C25E8C29AB2}" xr6:coauthVersionLast="46" xr6:coauthVersionMax="47" xr10:uidLastSave="{00000000-0000-0000-0000-000000000000}"/>
  <bookViews>
    <workbookView xWindow="20370" yWindow="-120" windowWidth="20730" windowHeight="11160" activeTab="3" xr2:uid="{00000000-000D-0000-FFFF-FFFF00000000}"/>
    <workbookView xWindow="20370" yWindow="-120" windowWidth="20730" windowHeight="11160" activeTab="3" xr2:uid="{09A40B85-663A-43C2-A109-39E29599DF61}"/>
  </bookViews>
  <sheets>
    <sheet name="Summary Table" sheetId="6" r:id="rId1"/>
    <sheet name="Funds and Assets" sheetId="5" r:id="rId2"/>
    <sheet name="Statement of Financial Position" sheetId="1" r:id="rId3"/>
    <sheet name="Budget vs. Actuals" sheetId="2" r:id="rId4"/>
    <sheet name="A R Aging Summary" sheetId="3" r:id="rId5"/>
    <sheet name="A P Aging Summary" sheetId="4" r:id="rId6"/>
  </sheets>
  <externalReferences>
    <externalReference r:id="rId7"/>
    <externalReference r:id="rId8"/>
  </externalReferences>
  <calcPr calcId="191029"/>
  <pivotCaches>
    <pivotCache cacheId="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5" l="1"/>
  <c r="N14" i="6"/>
  <c r="N13" i="6"/>
  <c r="N12" i="6"/>
  <c r="F11" i="4" l="1"/>
  <c r="B11" i="4"/>
  <c r="D10" i="4"/>
  <c r="D11" i="4" s="1"/>
  <c r="B9" i="4"/>
  <c r="G9" i="4" s="1"/>
  <c r="C8" i="4"/>
  <c r="C11" i="4" s="1"/>
  <c r="B8" i="4"/>
  <c r="G8" i="4" s="1"/>
  <c r="G7" i="4"/>
  <c r="C7" i="4"/>
  <c r="B7" i="4"/>
  <c r="E6" i="4"/>
  <c r="E11" i="4" s="1"/>
  <c r="C6" i="4"/>
  <c r="G6" i="4" s="1"/>
  <c r="F7" i="3"/>
  <c r="G7" i="3" s="1"/>
  <c r="E7" i="3"/>
  <c r="D7" i="3"/>
  <c r="C7" i="3"/>
  <c r="B7" i="3"/>
  <c r="F6" i="3"/>
  <c r="G6" i="3" s="1"/>
  <c r="E69" i="2"/>
  <c r="D69" i="2"/>
  <c r="C69" i="2"/>
  <c r="B69" i="2"/>
  <c r="E68" i="2"/>
  <c r="D68" i="2"/>
  <c r="B68" i="2"/>
  <c r="D65" i="2"/>
  <c r="C65" i="2"/>
  <c r="E65" i="2" s="1"/>
  <c r="C64" i="2"/>
  <c r="C66" i="2" s="1"/>
  <c r="E63" i="2"/>
  <c r="B63" i="2"/>
  <c r="D63" i="2" s="1"/>
  <c r="E62" i="2"/>
  <c r="B62" i="2"/>
  <c r="D62" i="2" s="1"/>
  <c r="E61" i="2"/>
  <c r="B61" i="2"/>
  <c r="B64" i="2" s="1"/>
  <c r="D64" i="2" s="1"/>
  <c r="E60" i="2"/>
  <c r="D60" i="2"/>
  <c r="E59" i="2"/>
  <c r="B59" i="2"/>
  <c r="E54" i="2"/>
  <c r="D54" i="2"/>
  <c r="B54" i="2"/>
  <c r="D53" i="2"/>
  <c r="C53" i="2"/>
  <c r="E53" i="2" s="1"/>
  <c r="C52" i="2"/>
  <c r="C55" i="2" s="1"/>
  <c r="B52" i="2"/>
  <c r="B55" i="2" s="1"/>
  <c r="D55" i="2" s="1"/>
  <c r="E51" i="2"/>
  <c r="D51" i="2"/>
  <c r="E49" i="2"/>
  <c r="D49" i="2"/>
  <c r="C49" i="2"/>
  <c r="B49" i="2"/>
  <c r="E48" i="2"/>
  <c r="C48" i="2"/>
  <c r="D48" i="2" s="1"/>
  <c r="C47" i="2"/>
  <c r="E47" i="2" s="1"/>
  <c r="B47" i="2"/>
  <c r="D46" i="2"/>
  <c r="C46" i="2"/>
  <c r="E46" i="2" s="1"/>
  <c r="B46" i="2"/>
  <c r="C45" i="2"/>
  <c r="C50" i="2" s="1"/>
  <c r="B45" i="2"/>
  <c r="B50" i="2" s="1"/>
  <c r="D50" i="2" s="1"/>
  <c r="D44" i="2"/>
  <c r="C44" i="2"/>
  <c r="E44" i="2" s="1"/>
  <c r="E43" i="2"/>
  <c r="D43" i="2"/>
  <c r="E41" i="2"/>
  <c r="C41" i="2"/>
  <c r="C42" i="2" s="1"/>
  <c r="E42" i="2" s="1"/>
  <c r="B41" i="2"/>
  <c r="D41" i="2" s="1"/>
  <c r="E40" i="2"/>
  <c r="D40" i="2"/>
  <c r="B40" i="2"/>
  <c r="B42" i="2" s="1"/>
  <c r="E39" i="2"/>
  <c r="D39" i="2"/>
  <c r="B38" i="2"/>
  <c r="E37" i="2"/>
  <c r="D37" i="2"/>
  <c r="C37" i="2"/>
  <c r="E36" i="2"/>
  <c r="C36" i="2"/>
  <c r="D36" i="2" s="1"/>
  <c r="C35" i="2"/>
  <c r="D35" i="2" s="1"/>
  <c r="B35" i="2"/>
  <c r="E34" i="2"/>
  <c r="D34" i="2"/>
  <c r="E32" i="2"/>
  <c r="C32" i="2"/>
  <c r="B32" i="2"/>
  <c r="D32" i="2" s="1"/>
  <c r="C31" i="2"/>
  <c r="E31" i="2" s="1"/>
  <c r="B31" i="2"/>
  <c r="D31" i="2" s="1"/>
  <c r="E30" i="2"/>
  <c r="C30" i="2"/>
  <c r="B30" i="2"/>
  <c r="D30" i="2" s="1"/>
  <c r="C29" i="2"/>
  <c r="E29" i="2" s="1"/>
  <c r="B29" i="2"/>
  <c r="D29" i="2" s="1"/>
  <c r="E28" i="2"/>
  <c r="D28" i="2"/>
  <c r="E27" i="2"/>
  <c r="D27" i="2"/>
  <c r="C27" i="2"/>
  <c r="C26" i="2"/>
  <c r="E26" i="2" s="1"/>
  <c r="B26" i="2"/>
  <c r="D26" i="2" s="1"/>
  <c r="C25" i="2"/>
  <c r="E25" i="2" s="1"/>
  <c r="C24" i="2"/>
  <c r="E24" i="2" s="1"/>
  <c r="B24" i="2"/>
  <c r="D24" i="2" s="1"/>
  <c r="E23" i="2"/>
  <c r="D23" i="2"/>
  <c r="C23" i="2"/>
  <c r="E22" i="2"/>
  <c r="C22" i="2"/>
  <c r="D22" i="2" s="1"/>
  <c r="C21" i="2"/>
  <c r="E21" i="2" s="1"/>
  <c r="C20" i="2"/>
  <c r="E20" i="2" s="1"/>
  <c r="B20" i="2"/>
  <c r="C19" i="2"/>
  <c r="E19" i="2" s="1"/>
  <c r="B19" i="2"/>
  <c r="D19" i="2" s="1"/>
  <c r="C18" i="2"/>
  <c r="B18" i="2"/>
  <c r="E14" i="2"/>
  <c r="B14" i="2"/>
  <c r="D14" i="2" s="1"/>
  <c r="C12" i="2"/>
  <c r="E12" i="2" s="1"/>
  <c r="B12" i="2"/>
  <c r="D12" i="2" s="1"/>
  <c r="E11" i="2"/>
  <c r="C11" i="2"/>
  <c r="B11" i="2"/>
  <c r="D11" i="2" s="1"/>
  <c r="E10" i="2"/>
  <c r="D10" i="2"/>
  <c r="C9" i="2"/>
  <c r="E9" i="2" s="1"/>
  <c r="B9" i="2"/>
  <c r="E8" i="2"/>
  <c r="D8" i="2"/>
  <c r="B62" i="1"/>
  <c r="B61" i="1"/>
  <c r="B60" i="1"/>
  <c r="B59" i="1"/>
  <c r="B58" i="1"/>
  <c r="B57" i="1"/>
  <c r="B53" i="1"/>
  <c r="B54" i="1" s="1"/>
  <c r="B55" i="1" s="1"/>
  <c r="B63" i="1" s="1"/>
  <c r="B52" i="1"/>
  <c r="B51" i="1"/>
  <c r="B50" i="1"/>
  <c r="B48" i="1"/>
  <c r="B47" i="1"/>
  <c r="B40" i="1"/>
  <c r="B39" i="1"/>
  <c r="B38" i="1"/>
  <c r="B37" i="1"/>
  <c r="B36" i="1"/>
  <c r="B34" i="1"/>
  <c r="B33" i="1"/>
  <c r="B35" i="1" s="1"/>
  <c r="B32" i="1"/>
  <c r="B31" i="1"/>
  <c r="B30" i="1"/>
  <c r="B29" i="1"/>
  <c r="B24" i="1"/>
  <c r="B23" i="1"/>
  <c r="B25" i="1" s="1"/>
  <c r="B26" i="1" s="1"/>
  <c r="B20" i="1"/>
  <c r="B19" i="1"/>
  <c r="B16" i="1"/>
  <c r="B17" i="1" s="1"/>
  <c r="B13" i="1"/>
  <c r="B12" i="1"/>
  <c r="B11" i="1"/>
  <c r="B14" i="1" s="1"/>
  <c r="B21" i="1" s="1"/>
  <c r="B10" i="1"/>
  <c r="B9" i="1"/>
  <c r="F24" i="5"/>
  <c r="G11" i="4" l="1"/>
  <c r="G10" i="4"/>
  <c r="B56" i="2"/>
  <c r="D42" i="2"/>
  <c r="B66" i="2"/>
  <c r="E55" i="2"/>
  <c r="C70" i="2"/>
  <c r="E66" i="2"/>
  <c r="E50" i="2"/>
  <c r="C13" i="2"/>
  <c r="D18" i="2"/>
  <c r="D20" i="2"/>
  <c r="D25" i="2"/>
  <c r="B13" i="2"/>
  <c r="E18" i="2"/>
  <c r="D59" i="2"/>
  <c r="E64" i="2"/>
  <c r="D45" i="2"/>
  <c r="D47" i="2"/>
  <c r="D9" i="2"/>
  <c r="D21" i="2"/>
  <c r="C33" i="2"/>
  <c r="E33" i="2" s="1"/>
  <c r="E35" i="2"/>
  <c r="C38" i="2"/>
  <c r="E38" i="2" s="1"/>
  <c r="E45" i="2"/>
  <c r="D52" i="2"/>
  <c r="E52" i="2"/>
  <c r="B33" i="2"/>
  <c r="D61" i="2"/>
  <c r="B41" i="1"/>
  <c r="B42" i="1" s="1"/>
  <c r="B15" i="2" l="1"/>
  <c r="D13" i="2"/>
  <c r="D66" i="2"/>
  <c r="B70" i="2"/>
  <c r="D70" i="2" s="1"/>
  <c r="D38" i="2"/>
  <c r="E70" i="2"/>
  <c r="D33" i="2"/>
  <c r="C15" i="2"/>
  <c r="E13" i="2"/>
  <c r="C56" i="2"/>
  <c r="E56" i="2" s="1"/>
  <c r="D15" i="2" l="1"/>
  <c r="B16" i="2"/>
  <c r="C16" i="2"/>
  <c r="E15" i="2"/>
  <c r="D56" i="2"/>
  <c r="B57" i="2" l="1"/>
  <c r="D16" i="2"/>
  <c r="E16" i="2"/>
  <c r="C57" i="2"/>
  <c r="E57" i="2" l="1"/>
  <c r="C71" i="2"/>
  <c r="D57" i="2"/>
  <c r="B71" i="2"/>
  <c r="D71" i="2" s="1"/>
  <c r="N15" i="6"/>
  <c r="O13" i="6"/>
  <c r="O12" i="6"/>
  <c r="I55" i="2"/>
  <c r="H55" i="2"/>
  <c r="I50" i="2"/>
  <c r="H50" i="2"/>
  <c r="I42" i="2"/>
  <c r="J42" i="2" s="1"/>
  <c r="H42" i="2"/>
  <c r="I38" i="2"/>
  <c r="H38" i="2"/>
  <c r="I32" i="2"/>
  <c r="J32" i="2" s="1"/>
  <c r="H32" i="2"/>
  <c r="I27" i="2"/>
  <c r="I57" i="2" s="1"/>
  <c r="H27" i="2"/>
  <c r="I16" i="2"/>
  <c r="H16" i="2"/>
  <c r="J16" i="2" s="1"/>
  <c r="O15" i="6"/>
  <c r="N11" i="6"/>
  <c r="M24" i="6"/>
  <c r="K19" i="6"/>
  <c r="J19" i="6"/>
  <c r="X18" i="6"/>
  <c r="M15" i="6"/>
  <c r="L15" i="6"/>
  <c r="K15" i="6"/>
  <c r="J15" i="6"/>
  <c r="I15" i="6"/>
  <c r="H15" i="6"/>
  <c r="G15" i="6"/>
  <c r="G19" i="6" s="1"/>
  <c r="F15" i="6"/>
  <c r="E15" i="6"/>
  <c r="M14" i="6"/>
  <c r="M19" i="6" s="1"/>
  <c r="L14" i="6"/>
  <c r="L19" i="6" s="1"/>
  <c r="K14" i="6"/>
  <c r="J14" i="6"/>
  <c r="I14" i="6"/>
  <c r="I19" i="6" s="1"/>
  <c r="H14" i="6"/>
  <c r="H19" i="6" s="1"/>
  <c r="G14" i="6"/>
  <c r="F14" i="6"/>
  <c r="E14" i="6"/>
  <c r="E19" i="6" s="1"/>
  <c r="M13" i="6"/>
  <c r="L13" i="6"/>
  <c r="K13" i="6"/>
  <c r="J13" i="6"/>
  <c r="I13" i="6"/>
  <c r="H13" i="6"/>
  <c r="G13" i="6"/>
  <c r="F13" i="6"/>
  <c r="E13" i="6"/>
  <c r="M12" i="6"/>
  <c r="L12" i="6"/>
  <c r="K12" i="6"/>
  <c r="J12" i="6"/>
  <c r="I12" i="6"/>
  <c r="H12" i="6"/>
  <c r="G12" i="6"/>
  <c r="F12" i="6"/>
  <c r="E12" i="6"/>
  <c r="E11" i="6"/>
  <c r="O11" i="6" s="1"/>
  <c r="I40" i="6"/>
  <c r="J50" i="2" l="1"/>
  <c r="H57" i="2"/>
  <c r="J57" i="2" s="1"/>
  <c r="J38" i="2"/>
  <c r="J55" i="2"/>
  <c r="I58" i="2"/>
  <c r="E71" i="2"/>
  <c r="J27" i="2"/>
  <c r="N19" i="6"/>
  <c r="N20" i="6" s="1"/>
  <c r="O14" i="6"/>
  <c r="O17" i="6" s="1"/>
  <c r="J56" i="2"/>
  <c r="N17" i="6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M20" i="6" s="1"/>
  <c r="F19" i="6"/>
  <c r="I41" i="6"/>
  <c r="H58" i="2" l="1"/>
  <c r="K55" i="2"/>
  <c r="J58" i="2"/>
  <c r="K20" i="6"/>
  <c r="J20" i="6"/>
  <c r="G20" i="6"/>
  <c r="E20" i="6"/>
  <c r="H20" i="6"/>
  <c r="I20" i="6"/>
  <c r="F20" i="6"/>
  <c r="L20" i="6"/>
  <c r="F29" i="5"/>
  <c r="F34" i="5" s="1"/>
  <c r="G69" i="2"/>
</calcChain>
</file>

<file path=xl/sharedStrings.xml><?xml version="1.0" encoding="utf-8"?>
<sst xmlns="http://schemas.openxmlformats.org/spreadsheetml/2006/main" count="238" uniqueCount="208">
  <si>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</si>
  <si>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</si>
  <si>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</si>
  <si>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</si>
  <si>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</si>
  <si>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</si>
  <si>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</si>
  <si>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</si>
  <si>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</si>
  <si>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</si>
  <si>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</si>
  <si>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</si>
  <si>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</si>
  <si>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</si>
  <si>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</si>
  <si>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</si>
  <si>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</si>
  <si>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</si>
  <si>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</si>
  <si>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</si>
  <si>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   Total Computers &amp; Furniture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</si>
  <si>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</si>
  <si>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</si>
  <si>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</si>
  <si>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</si>
  <si>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</si>
  <si>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</si>
  <si>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</si>
  <si>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</si>
  <si>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   Accumulated Depreciation</t>
  </si>
  <si>
    <t xml:space="preserve">      Total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</si>
  <si>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</si>
  <si>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</si>
  <si>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</si>
  <si>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</si>
  <si>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</si>
  <si>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</si>
  <si>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</si>
  <si>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</si>
  <si>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</si>
  <si>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</si>
  <si>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</si>
  <si>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</si>
  <si>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</si>
  <si>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</si>
  <si>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</si>
  <si>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</si>
  <si>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</si>
  <si>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</si>
  <si>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</si>
  <si>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</si>
  <si>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</si>
  <si>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</si>
  <si>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</si>
  <si>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</si>
  <si>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</si>
  <si>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</si>
  <si>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</si>
  <si>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</si>
  <si>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Jewish Community Foundation of Greater Mercer</t>
  </si>
  <si>
    <t>Statement of Financial Position</t>
  </si>
  <si>
    <t>For Management use Only</t>
  </si>
  <si>
    <t>Monday, Sep 20, 2021 06:30:08 AM GMT-7 - Accrual Basis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</si>
  <si>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</si>
  <si>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</si>
  <si>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</si>
  <si>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</si>
  <si>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</si>
  <si>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</si>
  <si>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90000 Forgiveness of Debt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</si>
  <si>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</si>
  <si>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</si>
  <si>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</si>
  <si>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</si>
  <si>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</si>
  <si>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</si>
  <si>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</si>
  <si>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</si>
  <si>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</si>
  <si>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</si>
  <si>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</si>
  <si>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</si>
  <si>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</si>
  <si>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</si>
  <si>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</si>
  <si>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</si>
  <si>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</si>
  <si>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</si>
  <si>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</si>
  <si>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</si>
  <si>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</si>
  <si>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</si>
  <si>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</si>
  <si>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</si>
  <si>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   63100 Insurance - Donor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</si>
  <si>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</si>
  <si>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</si>
  <si>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</si>
  <si>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</si>
  <si>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</si>
  <si>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</si>
  <si>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</si>
  <si>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</si>
  <si>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</si>
  <si>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</si>
  <si>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</si>
  <si>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</si>
  <si>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</si>
  <si>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</si>
  <si>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</si>
  <si>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60009 Renaissance Fee</t>
  </si>
  <si>
    <t xml:space="preserve">   60008 Advertising/Promotional</t>
  </si>
  <si>
    <t xml:space="preserve">   60004 JCC/Ewing Property</t>
  </si>
  <si>
    <t xml:space="preserve">   60003 Promotional Material</t>
  </si>
  <si>
    <t xml:space="preserve">   60002 Rent</t>
  </si>
  <si>
    <t xml:space="preserve">   60001 Bank Fees</t>
  </si>
  <si>
    <t xml:space="preserve">   60000 L&amp;L Event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</si>
  <si>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</si>
  <si>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</si>
  <si>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</si>
  <si>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</si>
  <si>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</si>
  <si>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Total 43440 Fee Income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</si>
  <si>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</si>
  <si>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</si>
  <si>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</si>
  <si>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</si>
  <si>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</si>
  <si>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</si>
  <si>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</si>
  <si>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</si>
  <si>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</si>
  <si>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 xml:space="preserve">Budget vs. Actuals: FY 2022 Budget - FY22 P&amp;L </t>
  </si>
  <si>
    <t>TOTAL</t>
  </si>
  <si>
    <t>The Jewish Federation of Somerset, Hunterdon and Warren Counties</t>
  </si>
  <si>
    <t>91 and over</t>
  </si>
  <si>
    <t>61 - 90</t>
  </si>
  <si>
    <t>31 - 60</t>
  </si>
  <si>
    <t>1 - 30</t>
  </si>
  <si>
    <t>Current</t>
  </si>
  <si>
    <t>A/R Aging Summary</t>
  </si>
  <si>
    <t>The Jewish Center (v)</t>
  </si>
  <si>
    <t>Non-profit Accounting Solutions, LLC</t>
  </si>
  <si>
    <t>Netcentric IT Management, Inc.</t>
  </si>
  <si>
    <t>Marisa Reingle</t>
  </si>
  <si>
    <t>Kim Marks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</si>
  <si>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</si>
  <si>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</si>
  <si>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</si>
  <si>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</si>
  <si>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</si>
  <si>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</si>
  <si>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Permanently Restricted Funds</t>
  </si>
  <si>
    <t>Total Permanently Restricted Funds</t>
  </si>
  <si>
    <t>Temporarily Restricted Funds</t>
  </si>
  <si>
    <t>Total Temporarily Restricted Funds</t>
  </si>
  <si>
    <t>Unrestricted Funds of the Foundation in the Investment Portfolio</t>
  </si>
  <si>
    <t>Total Assets in Investment Portfolio</t>
  </si>
  <si>
    <t>wo UFF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</si>
  <si>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</si>
  <si>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</si>
  <si>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</si>
  <si>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</si>
  <si>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</si>
  <si>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</si>
  <si>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</si>
  <si>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</si>
  <si>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</si>
  <si>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</si>
  <si>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</si>
  <si>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</si>
  <si>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</si>
  <si>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</si>
  <si>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</si>
  <si>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t>FY 2013 - FY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</si>
  <si>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</si>
  <si>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</si>
  <si>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</si>
  <si>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</si>
  <si>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</si>
  <si>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</si>
  <si>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</si>
  <si>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</si>
  <si>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</si>
  <si>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</si>
  <si>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**  These figures do not include unrestricted assets of the Foundation held in the portfilio, which total about $492,000 at 06/30/21.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</si>
  <si>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</si>
  <si>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</si>
  <si>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</si>
  <si>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</si>
  <si>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</si>
  <si>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</si>
  <si>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</si>
  <si>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</si>
  <si>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</si>
  <si>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</si>
  <si>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</si>
  <si>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</si>
  <si>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</si>
  <si>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Donor-Advised Fund Assets</t>
  </si>
  <si>
    <t>Asset Summary as of September 30, 2021</t>
  </si>
  <si>
    <t>09.30.2021</t>
  </si>
  <si>
    <t>As of September 30, 2021</t>
  </si>
  <si>
    <t>Sunday, Oct 24, 2021 09:37:25 PM GMT-7 - Accrual Basis</t>
  </si>
  <si>
    <t>Sunday, Oct 24, 2021 09:40:46 PM GMT-7</t>
  </si>
  <si>
    <t>Sunday, Oct 24, 2021 09:41:18 PM GMT-7</t>
  </si>
  <si>
    <t>today</t>
  </si>
  <si>
    <t>July - September,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</si>
</sst>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0" fontId="4" fillId="0" borderId="2" xfId="0" applyNumberFormat="1" applyFont="1" applyBorder="1" applyAlignment="1">
      <alignment horizontal="right" wrapText="1"/>
    </xf>
    <xf numFmtId="165" fontId="4" fillId="0" borderId="2" xfId="0" applyNumberFormat="1" applyFont="1" applyBorder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12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2" fillId="0" borderId="0" xfId="4" applyNumberFormat="1" applyFont="1" applyAlignment="1">
      <alignment wrapText="1"/>
    </xf>
    <xf numFmtId="3" fontId="12" fillId="0" borderId="0" xfId="4" quotePrefix="1" applyNumberFormat="1" applyFont="1" applyAlignment="1">
      <alignment wrapText="1"/>
    </xf>
    <xf numFmtId="0" fontId="12" fillId="0" borderId="0" xfId="4" applyFont="1" applyAlignment="1">
      <alignment horizontal="left"/>
    </xf>
    <xf numFmtId="168" fontId="12" fillId="0" borderId="0" xfId="2" applyNumberFormat="1" applyFont="1" applyBorder="1" applyAlignment="1">
      <alignment vertical="center"/>
    </xf>
    <xf numFmtId="167" fontId="12" fillId="0" borderId="0" xfId="5" applyNumberFormat="1" applyFont="1" applyBorder="1" applyAlignment="1">
      <alignment wrapText="1"/>
    </xf>
    <xf numFmtId="167" fontId="13" fillId="0" borderId="1" xfId="5" applyNumberFormat="1" applyFont="1" applyBorder="1" applyAlignment="1">
      <alignment horizontal="center"/>
    </xf>
    <xf numFmtId="0" fontId="13" fillId="0" borderId="0" xfId="4" applyFont="1"/>
    <xf numFmtId="167" fontId="13" fillId="0" borderId="0" xfId="5" applyNumberFormat="1" applyFont="1"/>
    <xf numFmtId="42" fontId="12" fillId="0" borderId="0" xfId="6" applyNumberFormat="1" applyFont="1" applyBorder="1" applyAlignment="1">
      <alignment vertical="center"/>
    </xf>
    <xf numFmtId="0" fontId="12" fillId="0" borderId="0" xfId="4" applyFont="1" applyAlignment="1">
      <alignment horizontal="left" indent="1"/>
    </xf>
    <xf numFmtId="167" fontId="12" fillId="0" borderId="0" xfId="1" applyNumberFormat="1" applyFont="1" applyBorder="1" applyAlignment="1">
      <alignment vertical="center" wrapText="1"/>
    </xf>
    <xf numFmtId="42" fontId="13" fillId="0" borderId="0" xfId="6" applyNumberFormat="1" applyFont="1" applyBorder="1" applyAlignment="1">
      <alignment vertical="center"/>
    </xf>
    <xf numFmtId="167" fontId="12" fillId="0" borderId="0" xfId="1" applyNumberFormat="1" applyFont="1"/>
    <xf numFmtId="0" fontId="1" fillId="0" borderId="0" xfId="0" applyFont="1"/>
    <xf numFmtId="167" fontId="12" fillId="0" borderId="0" xfId="1" applyNumberFormat="1" applyFont="1" applyAlignment="1">
      <alignment vertical="center"/>
    </xf>
    <xf numFmtId="167" fontId="13" fillId="0" borderId="0" xfId="5" quotePrefix="1" applyNumberFormat="1" applyFont="1"/>
    <xf numFmtId="167" fontId="12" fillId="0" borderId="0" xfId="1" applyNumberFormat="1" applyFont="1" applyBorder="1"/>
    <xf numFmtId="43" fontId="12" fillId="0" borderId="0" xfId="4" applyNumberFormat="1" applyFont="1"/>
    <xf numFmtId="167" fontId="12" fillId="0" borderId="0" xfId="1" applyNumberFormat="1" applyFont="1" applyBorder="1" applyAlignment="1">
      <alignment vertical="center"/>
    </xf>
    <xf numFmtId="167" fontId="13" fillId="0" borderId="0" xfId="1" applyNumberFormat="1" applyFont="1" applyBorder="1" applyAlignment="1">
      <alignment horizontal="right"/>
    </xf>
    <xf numFmtId="167" fontId="13" fillId="0" borderId="0" xfId="5" applyNumberFormat="1" applyFont="1" applyBorder="1" applyAlignment="1">
      <alignment horizontal="left" wrapText="1" indent="1"/>
    </xf>
    <xf numFmtId="167" fontId="13" fillId="0" borderId="1" xfId="5" applyNumberFormat="1" applyFont="1" applyFill="1" applyBorder="1" applyAlignment="1">
      <alignment horizontal="right"/>
    </xf>
    <xf numFmtId="167" fontId="12" fillId="0" borderId="0" xfId="4" applyNumberFormat="1" applyFont="1"/>
    <xf numFmtId="168" fontId="13" fillId="0" borderId="3" xfId="6" applyNumberFormat="1" applyFont="1" applyBorder="1" applyAlignment="1">
      <alignment horizontal="right"/>
    </xf>
    <xf numFmtId="168" fontId="13" fillId="0" borderId="0" xfId="6" applyNumberFormat="1" applyFont="1" applyBorder="1" applyAlignment="1">
      <alignment horizontal="right"/>
    </xf>
    <xf numFmtId="43" fontId="12" fillId="0" borderId="0" xfId="1" applyFont="1"/>
    <xf numFmtId="44" fontId="12" fillId="0" borderId="0" xfId="4" applyNumberFormat="1" applyFont="1"/>
    <xf numFmtId="43" fontId="12" fillId="0" borderId="0" xfId="1" applyFont="1" applyBorder="1"/>
    <xf numFmtId="0" fontId="15" fillId="0" borderId="0" xfId="4" applyFont="1"/>
    <xf numFmtId="0" fontId="17" fillId="0" borderId="0" xfId="0" applyFont="1" applyAlignment="1">
      <alignment horizontal="center"/>
    </xf>
    <xf numFmtId="0" fontId="9" fillId="0" borderId="0" xfId="0" applyFont="1"/>
    <xf numFmtId="169" fontId="9" fillId="0" borderId="1" xfId="1" applyNumberFormat="1" applyFont="1" applyBorder="1" applyAlignment="1">
      <alignment horizontal="center" wrapText="1"/>
    </xf>
    <xf numFmtId="169" fontId="9" fillId="0" borderId="4" xfId="1" applyNumberFormat="1" applyFont="1" applyBorder="1" applyAlignment="1">
      <alignment horizontal="center" wrapText="1"/>
    </xf>
    <xf numFmtId="0" fontId="15" fillId="0" borderId="5" xfId="4" applyFont="1" applyBorder="1"/>
    <xf numFmtId="0" fontId="18" fillId="0" borderId="0" xfId="0" applyFont="1"/>
    <xf numFmtId="169" fontId="15" fillId="0" borderId="0" xfId="1" applyNumberFormat="1" applyFont="1"/>
    <xf numFmtId="0" fontId="15" fillId="0" borderId="6" xfId="4" applyFont="1" applyBorder="1"/>
    <xf numFmtId="0" fontId="15" fillId="0" borderId="7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15" fillId="0" borderId="6" xfId="1" applyNumberFormat="1" applyFont="1" applyBorder="1"/>
    <xf numFmtId="170" fontId="19" fillId="0" borderId="0" xfId="2" applyNumberFormat="1" applyFont="1" applyBorder="1"/>
    <xf numFmtId="0" fontId="19" fillId="0" borderId="0" xfId="0" applyFont="1"/>
    <xf numFmtId="169" fontId="19" fillId="0" borderId="0" xfId="1" applyNumberFormat="1" applyFont="1" applyBorder="1"/>
    <xf numFmtId="169" fontId="19" fillId="0" borderId="6" xfId="1" applyNumberFormat="1" applyFont="1" applyBorder="1"/>
    <xf numFmtId="169" fontId="19" fillId="0" borderId="1" xfId="1" applyNumberFormat="1" applyFont="1" applyBorder="1"/>
    <xf numFmtId="169" fontId="19" fillId="0" borderId="8" xfId="1" applyNumberFormat="1" applyFont="1" applyBorder="1"/>
    <xf numFmtId="0" fontId="15" fillId="0" borderId="8" xfId="4" applyFont="1" applyBorder="1"/>
    <xf numFmtId="167" fontId="1" fillId="0" borderId="0" xfId="1" applyNumberFormat="1" applyFont="1"/>
    <xf numFmtId="43" fontId="19" fillId="0" borderId="0" xfId="1" applyFont="1" applyBorder="1"/>
    <xf numFmtId="167" fontId="15" fillId="0" borderId="0" xfId="1" applyNumberFormat="1" applyFont="1"/>
    <xf numFmtId="169" fontId="19" fillId="0" borderId="3" xfId="1" applyNumberFormat="1" applyFont="1" applyBorder="1"/>
    <xf numFmtId="169" fontId="19" fillId="0" borderId="10" xfId="1" applyNumberFormat="1" applyFont="1" applyBorder="1"/>
    <xf numFmtId="0" fontId="15" fillId="0" borderId="11" xfId="4" applyFont="1" applyBorder="1"/>
    <xf numFmtId="171" fontId="1" fillId="0" borderId="0" xfId="0" applyNumberFormat="1" applyFont="1"/>
    <xf numFmtId="0" fontId="1" fillId="0" borderId="9" xfId="0" applyFont="1" applyBorder="1"/>
    <xf numFmtId="44" fontId="15" fillId="0" borderId="0" xfId="4" applyNumberFormat="1" applyFont="1"/>
    <xf numFmtId="167" fontId="15" fillId="0" borderId="0" xfId="4" applyNumberFormat="1" applyFont="1"/>
    <xf numFmtId="9" fontId="19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19" fillId="0" borderId="0" xfId="2" applyNumberFormat="1" applyFont="1" applyFill="1" applyBorder="1"/>
    <xf numFmtId="167" fontId="19" fillId="0" borderId="3" xfId="1" applyNumberFormat="1" applyFont="1" applyFill="1" applyBorder="1"/>
    <xf numFmtId="167" fontId="0" fillId="0" borderId="0" xfId="0" applyNumberFormat="1"/>
    <xf numFmtId="167" fontId="20" fillId="0" borderId="0" xfId="0" applyNumberFormat="1" applyFont="1"/>
    <xf numFmtId="167" fontId="20" fillId="3" borderId="0" xfId="0" applyNumberFormat="1" applyFont="1" applyFill="1"/>
    <xf numFmtId="167" fontId="0" fillId="0" borderId="0" xfId="0" pivotButton="1" applyNumberFormat="1"/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164" fontId="0" fillId="0" borderId="12" xfId="0" applyNumberFormat="1" applyBorder="1"/>
    <xf numFmtId="4" fontId="0" fillId="0" borderId="12" xfId="0" applyNumberFormat="1" applyBorder="1"/>
    <xf numFmtId="0" fontId="5" fillId="0" borderId="1" xfId="0" applyFont="1" applyBorder="1" applyAlignment="1">
      <alignment horizontal="center" wrapText="1"/>
    </xf>
    <xf numFmtId="164" fontId="0" fillId="0" borderId="0" xfId="0" applyNumberFormat="1" applyFill="1"/>
    <xf numFmtId="0" fontId="0" fillId="0" borderId="0" xfId="0"/>
    <xf numFmtId="0" fontId="5" fillId="0" borderId="1" xfId="0" applyFont="1" applyBorder="1" applyAlignment="1">
      <alignment horizontal="center" wrapText="1"/>
    </xf>
    <xf numFmtId="0" fontId="12" fillId="0" borderId="0" xfId="4" quotePrefix="1" applyFont="1" applyBorder="1"/>
    <xf numFmtId="0" fontId="12" fillId="0" borderId="0" xfId="4" applyFont="1" applyBorder="1"/>
    <xf numFmtId="43" fontId="0" fillId="0" borderId="0" xfId="1" applyFont="1"/>
    <xf numFmtId="0" fontId="4" fillId="2" borderId="0" xfId="0" applyFont="1" applyFill="1" applyAlignment="1">
      <alignment horizontal="left" wrapText="1"/>
    </xf>
    <xf numFmtId="165" fontId="4" fillId="2" borderId="2" xfId="0" applyNumberFormat="1" applyFont="1" applyFill="1" applyBorder="1" applyAlignment="1">
      <alignment horizontal="right" wrapText="1"/>
    </xf>
    <xf numFmtId="166" fontId="14" fillId="0" borderId="0" xfId="4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14" fillId="0" borderId="0" xfId="4" applyNumberFormat="1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>
        <row r="43">
          <cell r="C43">
            <v>-47081.020000000011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0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31:J38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X41"/>
  <sheetViews>
    <sheetView topLeftCell="B4" workbookViewId="0">
      <pane xSplit="2" ySplit="6" topLeftCell="F13" activePane="bottomRight" state="frozen"/>
      <selection activeCell="B4" sqref="B4"/>
      <selection pane="topRight" activeCell="D4" sqref="D4"/>
      <selection pane="bottomLeft" activeCell="B10" sqref="B10"/>
      <selection pane="bottomRight" activeCell="N17" sqref="N17"/>
    </sheetView>
    <sheetView topLeftCell="B5" zoomScale="80" zoomScaleNormal="80" workbookViewId="1">
      <selection activeCell="N14" sqref="N14"/>
    </sheetView>
  </sheetViews>
  <sheetFormatPr defaultColWidth="9.140625" defaultRowHeight="15" x14ac:dyDescent="0.25"/>
  <cols>
    <col min="1" max="1" width="3.5703125" style="26" hidden="1" customWidth="1"/>
    <col min="2" max="2" width="25.7109375" style="26" customWidth="1"/>
    <col min="3" max="3" width="14.85546875" style="26" customWidth="1"/>
    <col min="4" max="4" width="19.42578125" style="26" customWidth="1"/>
    <col min="5" max="5" width="12.5703125" style="26" customWidth="1"/>
    <col min="6" max="6" width="11.28515625" style="26" customWidth="1"/>
    <col min="7" max="7" width="13.28515625" style="26" customWidth="1"/>
    <col min="8" max="8" width="12" style="26" customWidth="1"/>
    <col min="9" max="9" width="10.5703125" style="26" bestFit="1" customWidth="1"/>
    <col min="10" max="10" width="13.85546875" style="26" customWidth="1"/>
    <col min="11" max="14" width="11.28515625" style="26" customWidth="1"/>
    <col min="15" max="15" width="10.42578125" style="26" customWidth="1"/>
    <col min="16" max="16" width="1.28515625" style="26" customWidth="1"/>
    <col min="17" max="17" width="1.42578125" style="26" customWidth="1"/>
    <col min="18" max="22" width="15.7109375" style="26" customWidth="1"/>
    <col min="23" max="23" width="21.7109375" style="26" bestFit="1" customWidth="1"/>
    <col min="24" max="24" width="19.42578125" style="26" bestFit="1" customWidth="1"/>
    <col min="25" max="16384" width="9.140625" style="26"/>
  </cols>
  <sheetData>
    <row r="1" spans="1:24" s="41" customFormat="1" ht="26.25" customHeight="1" x14ac:dyDescent="0.2">
      <c r="A1" s="95" t="s">
        <v>147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24" s="41" customFormat="1" ht="26.25" customHeight="1" x14ac:dyDescent="0.2">
      <c r="A2" s="95" t="s">
        <v>148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24" s="41" customFormat="1" ht="26.25" x14ac:dyDescent="0.4">
      <c r="A3" s="96" t="s">
        <v>163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24" s="41" customFormat="1" ht="26.25" x14ac:dyDescent="0.4">
      <c r="A4" s="96" t="s">
        <v>164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24" s="41" customFormat="1" ht="26.25" x14ac:dyDescent="0.2">
      <c r="A5" s="97" t="s">
        <v>149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6" spans="1:24" s="41" customFormat="1" ht="27.75" customHeight="1" x14ac:dyDescent="0.3">
      <c r="A6" s="42"/>
      <c r="B6" s="42"/>
      <c r="C6" s="42"/>
      <c r="D6" s="42"/>
      <c r="E6" s="42"/>
      <c r="F6" s="42"/>
      <c r="G6" s="42"/>
      <c r="H6" s="42"/>
      <c r="I6" s="42"/>
      <c r="J6" s="26"/>
      <c r="K6" s="26"/>
      <c r="L6" s="26"/>
      <c r="M6" s="26"/>
      <c r="N6" s="26"/>
      <c r="O6" s="26"/>
    </row>
    <row r="7" spans="1:24" s="41" customFormat="1" x14ac:dyDescent="0.25">
      <c r="A7" s="26"/>
      <c r="B7" s="26"/>
      <c r="C7" s="26"/>
      <c r="D7" s="26"/>
      <c r="H7" s="43"/>
      <c r="I7" s="26"/>
      <c r="J7" s="26"/>
      <c r="K7" s="26"/>
      <c r="L7" s="26"/>
      <c r="M7" s="26"/>
      <c r="N7" s="26"/>
      <c r="O7" s="26"/>
    </row>
    <row r="8" spans="1:24" s="41" customFormat="1" ht="45" customHeight="1" x14ac:dyDescent="0.25">
      <c r="A8" s="26"/>
      <c r="B8" s="26"/>
      <c r="C8" s="26"/>
      <c r="D8" s="26"/>
      <c r="E8" s="44" t="s">
        <v>165</v>
      </c>
      <c r="F8" s="44" t="s">
        <v>166</v>
      </c>
      <c r="G8" s="44" t="s">
        <v>167</v>
      </c>
      <c r="H8" s="44" t="s">
        <v>168</v>
      </c>
      <c r="I8" s="44" t="s">
        <v>169</v>
      </c>
      <c r="J8" s="44" t="s">
        <v>170</v>
      </c>
      <c r="K8" s="44" t="s">
        <v>171</v>
      </c>
      <c r="L8" s="44" t="s">
        <v>172</v>
      </c>
      <c r="M8" s="44" t="s">
        <v>173</v>
      </c>
      <c r="N8" s="44" t="s">
        <v>198</v>
      </c>
      <c r="O8" s="45" t="s">
        <v>174</v>
      </c>
      <c r="P8" s="46"/>
    </row>
    <row r="9" spans="1:24" s="41" customFormat="1" ht="23.25" x14ac:dyDescent="0.35">
      <c r="A9" s="26"/>
      <c r="B9" s="47" t="s">
        <v>175</v>
      </c>
      <c r="C9" s="26"/>
      <c r="D9" s="26"/>
      <c r="E9" s="48"/>
      <c r="F9" s="48"/>
      <c r="G9" s="48"/>
      <c r="H9" s="48"/>
      <c r="I9" s="48"/>
      <c r="J9" s="48"/>
      <c r="K9" s="48"/>
      <c r="L9" s="48"/>
      <c r="M9" s="26"/>
      <c r="N9" s="26"/>
      <c r="O9" s="49"/>
      <c r="P9" s="50"/>
    </row>
    <row r="10" spans="1:24" s="41" customFormat="1" x14ac:dyDescent="0.25">
      <c r="A10" s="26"/>
      <c r="B10" s="26"/>
      <c r="C10" s="26"/>
      <c r="D10" s="26"/>
      <c r="E10" s="51"/>
      <c r="F10" s="48"/>
      <c r="G10" s="48"/>
      <c r="H10" s="48"/>
      <c r="I10" s="48"/>
      <c r="J10" s="48"/>
      <c r="K10" s="48"/>
      <c r="L10" s="48"/>
      <c r="M10" s="52"/>
      <c r="N10" s="52"/>
      <c r="O10" s="53"/>
      <c r="P10" s="50"/>
    </row>
    <row r="11" spans="1:24" s="41" customFormat="1" ht="18" customHeight="1" x14ac:dyDescent="0.3">
      <c r="B11" s="54" t="s">
        <v>176</v>
      </c>
      <c r="D11" s="55"/>
      <c r="E11" s="56">
        <f>+C33/10^6</f>
        <v>6.7799264599999995</v>
      </c>
      <c r="F11" s="56">
        <f t="shared" ref="F11:L11" si="0">+E17</f>
        <v>7.355995029999999</v>
      </c>
      <c r="G11" s="56">
        <f t="shared" si="0"/>
        <v>8.8975125699999982</v>
      </c>
      <c r="H11" s="56">
        <f t="shared" si="0"/>
        <v>8.4806887299999989</v>
      </c>
      <c r="I11" s="56">
        <f t="shared" si="0"/>
        <v>8.3226854699999997</v>
      </c>
      <c r="J11" s="56">
        <f t="shared" si="0"/>
        <v>10.52460597</v>
      </c>
      <c r="K11" s="56">
        <f t="shared" si="0"/>
        <v>10.89581907</v>
      </c>
      <c r="L11" s="56">
        <f t="shared" si="0"/>
        <v>10.945213580000001</v>
      </c>
      <c r="M11" s="56">
        <f>+L17</f>
        <v>10.479769140000002</v>
      </c>
      <c r="N11" s="56">
        <f>+M17</f>
        <v>14.680762140000001</v>
      </c>
      <c r="O11" s="57">
        <f>+E11</f>
        <v>6.7799264599999995</v>
      </c>
      <c r="P11" s="50"/>
    </row>
    <row r="12" spans="1:24" s="41" customFormat="1" ht="18" customHeight="1" x14ac:dyDescent="0.3">
      <c r="B12" s="54" t="s">
        <v>177</v>
      </c>
      <c r="D12" s="55"/>
      <c r="E12" s="56">
        <f t="shared" ref="E12:K15" si="1">+C34/10^6</f>
        <v>0.83821375999999992</v>
      </c>
      <c r="F12" s="56">
        <f t="shared" si="1"/>
        <v>1.1313998599999999</v>
      </c>
      <c r="G12" s="56">
        <f t="shared" si="1"/>
        <v>0.65697110000000014</v>
      </c>
      <c r="H12" s="56">
        <f t="shared" si="1"/>
        <v>1.3064777299999999</v>
      </c>
      <c r="I12" s="56">
        <f t="shared" si="1"/>
        <v>2.0766917600000001</v>
      </c>
      <c r="J12" s="56">
        <f t="shared" si="1"/>
        <v>1.0590322000000001</v>
      </c>
      <c r="K12" s="56">
        <f t="shared" si="1"/>
        <v>1.23016897</v>
      </c>
      <c r="L12" s="56">
        <f>+'[1]Summary of Activities Report'!$E$46/10^6</f>
        <v>0.96984260999999983</v>
      </c>
      <c r="M12" s="56">
        <f>3008866/10^6</f>
        <v>3.0088659999999998</v>
      </c>
      <c r="N12" s="56">
        <f>966990/10^6</f>
        <v>0.96699000000000002</v>
      </c>
      <c r="O12" s="57">
        <f>SUM(E12:N12)</f>
        <v>13.24465399</v>
      </c>
      <c r="P12" s="50"/>
    </row>
    <row r="13" spans="1:24" s="41" customFormat="1" ht="18" customHeight="1" x14ac:dyDescent="0.3">
      <c r="B13" s="54" t="s">
        <v>178</v>
      </c>
      <c r="D13" s="55"/>
      <c r="E13" s="56">
        <f t="shared" si="1"/>
        <v>-0.94829133999999993</v>
      </c>
      <c r="F13" s="56">
        <f t="shared" si="1"/>
        <v>-0.81162242999999989</v>
      </c>
      <c r="G13" s="56">
        <f t="shared" si="1"/>
        <v>-1.09932192</v>
      </c>
      <c r="H13" s="56">
        <f t="shared" si="1"/>
        <v>-1.27069422</v>
      </c>
      <c r="I13" s="56">
        <f t="shared" si="1"/>
        <v>-0.94343860000000002</v>
      </c>
      <c r="J13" s="56">
        <f t="shared" si="1"/>
        <v>-1.4037089900000002</v>
      </c>
      <c r="K13" s="56">
        <f t="shared" si="1"/>
        <v>-1.5125359199999999</v>
      </c>
      <c r="L13" s="56">
        <f>+'[1]Summary of Activities Report'!$F$46/10^6</f>
        <v>-1.3504425</v>
      </c>
      <c r="M13" s="56">
        <f>-1406567/10^6</f>
        <v>-1.4065669999999999</v>
      </c>
      <c r="N13" s="56">
        <f>-626256/10^6</f>
        <v>-0.62625600000000003</v>
      </c>
      <c r="O13" s="57">
        <f t="shared" ref="O13:O15" si="2">SUM(E13:N13)</f>
        <v>-11.37287892</v>
      </c>
      <c r="P13" s="50"/>
      <c r="W13" s="41" t="s">
        <v>179</v>
      </c>
    </row>
    <row r="14" spans="1:24" s="41" customFormat="1" ht="18" customHeight="1" x14ac:dyDescent="0.3">
      <c r="B14" s="54" t="s">
        <v>180</v>
      </c>
      <c r="D14" s="55"/>
      <c r="E14" s="56">
        <f>+C36/10^6</f>
        <v>0.75534582000000006</v>
      </c>
      <c r="F14" s="56">
        <f t="shared" si="1"/>
        <v>1.3001116499999998</v>
      </c>
      <c r="G14" s="56">
        <f t="shared" si="1"/>
        <v>0.11003288000000006</v>
      </c>
      <c r="H14" s="56">
        <f t="shared" si="1"/>
        <v>-0.11325913000000001</v>
      </c>
      <c r="I14" s="56">
        <f t="shared" si="1"/>
        <v>1.1585334100000002</v>
      </c>
      <c r="J14" s="56">
        <f t="shared" si="1"/>
        <v>0.82240797000000032</v>
      </c>
      <c r="K14" s="56">
        <f t="shared" si="1"/>
        <v>0.43931713000000006</v>
      </c>
      <c r="L14" s="56">
        <f>+'[1]Summary of Activities Report'!$G$47/10^6</f>
        <v>4.5046309999999999E-2</v>
      </c>
      <c r="M14" s="56">
        <f>(2715821)/10^6</f>
        <v>2.715821</v>
      </c>
      <c r="N14" s="56">
        <f>+(44489-193958)/10^6</f>
        <v>-0.14946899999999999</v>
      </c>
      <c r="O14" s="57">
        <f t="shared" si="2"/>
        <v>7.0838880400000006</v>
      </c>
      <c r="P14" s="50"/>
    </row>
    <row r="15" spans="1:24" s="41" customFormat="1" ht="18" customHeight="1" x14ac:dyDescent="0.3">
      <c r="B15" s="54" t="s">
        <v>181</v>
      </c>
      <c r="D15" s="55"/>
      <c r="E15" s="58">
        <f>+C37/10^6</f>
        <v>-6.9199670000000019E-2</v>
      </c>
      <c r="F15" s="58">
        <f t="shared" si="1"/>
        <v>-7.8371540000000031E-2</v>
      </c>
      <c r="G15" s="58">
        <f t="shared" si="1"/>
        <v>-8.4505899999999995E-2</v>
      </c>
      <c r="H15" s="58">
        <f t="shared" si="1"/>
        <v>-8.0527640000000011E-2</v>
      </c>
      <c r="I15" s="58">
        <f t="shared" si="1"/>
        <v>-8.9866070000000034E-2</v>
      </c>
      <c r="J15" s="58">
        <f t="shared" si="1"/>
        <v>-0.10651808000000003</v>
      </c>
      <c r="K15" s="58">
        <f t="shared" si="1"/>
        <v>-0.10755566999999999</v>
      </c>
      <c r="L15" s="58">
        <f>+'[1]Summary of Activities Report'!$H$46/10^6</f>
        <v>-0.12989086</v>
      </c>
      <c r="M15" s="59">
        <f>-117127/10^6</f>
        <v>-0.117127</v>
      </c>
      <c r="N15" s="58">
        <f>-36547/10^6</f>
        <v>-3.6547000000000003E-2</v>
      </c>
      <c r="O15" s="57">
        <f t="shared" si="2"/>
        <v>-0.90010943000000021</v>
      </c>
      <c r="P15" s="60"/>
      <c r="X15" s="61">
        <v>-1242047.3999999999</v>
      </c>
    </row>
    <row r="16" spans="1:24" s="41" customFormat="1" ht="18" customHeight="1" x14ac:dyDescent="0.3">
      <c r="B16" s="54"/>
      <c r="D16" s="55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57"/>
      <c r="P16" s="50"/>
      <c r="V16" s="41" t="s">
        <v>75</v>
      </c>
      <c r="W16" s="63">
        <v>1638838.98</v>
      </c>
    </row>
    <row r="17" spans="1:24" s="41" customFormat="1" ht="19.5" thickBot="1" x14ac:dyDescent="0.35">
      <c r="B17" s="54" t="s">
        <v>182</v>
      </c>
      <c r="D17" s="55"/>
      <c r="E17" s="64">
        <f t="shared" ref="E17:N17" si="3">SUM(E11:E15)</f>
        <v>7.355995029999999</v>
      </c>
      <c r="F17" s="64">
        <f t="shared" si="3"/>
        <v>8.8975125699999982</v>
      </c>
      <c r="G17" s="64">
        <f t="shared" si="3"/>
        <v>8.4806887299999989</v>
      </c>
      <c r="H17" s="64">
        <f t="shared" si="3"/>
        <v>8.3226854699999997</v>
      </c>
      <c r="I17" s="64">
        <f t="shared" si="3"/>
        <v>10.52460597</v>
      </c>
      <c r="J17" s="64">
        <f t="shared" si="3"/>
        <v>10.89581907</v>
      </c>
      <c r="K17" s="64">
        <f t="shared" si="3"/>
        <v>10.945213580000001</v>
      </c>
      <c r="L17" s="64">
        <f t="shared" si="3"/>
        <v>10.479769140000002</v>
      </c>
      <c r="M17" s="64">
        <f t="shared" si="3"/>
        <v>14.680762140000001</v>
      </c>
      <c r="N17" s="64">
        <f t="shared" si="3"/>
        <v>14.835480140000001</v>
      </c>
      <c r="O17" s="65">
        <f>SUM(O11:O15)</f>
        <v>14.835480139999998</v>
      </c>
      <c r="P17" s="66"/>
      <c r="V17" s="41" t="s">
        <v>74</v>
      </c>
      <c r="W17" s="63"/>
    </row>
    <row r="18" spans="1:24" s="41" customFormat="1" ht="12.75" customHeight="1" thickTop="1" x14ac:dyDescent="0.3">
      <c r="A18" s="55"/>
      <c r="B18" s="55"/>
      <c r="D18" s="55"/>
      <c r="F18" s="26"/>
      <c r="G18" s="26"/>
      <c r="H18" s="26"/>
      <c r="I18" s="56"/>
      <c r="J18" s="26"/>
      <c r="K18" s="67"/>
      <c r="L18" s="67"/>
      <c r="M18" s="26"/>
      <c r="N18" s="26"/>
      <c r="O18" s="68"/>
      <c r="P18" s="60"/>
      <c r="V18" s="69" t="s">
        <v>73</v>
      </c>
      <c r="W18" s="63">
        <v>297559.17</v>
      </c>
      <c r="X18" s="70">
        <f>+W18+W20</f>
        <v>2009430.2699999998</v>
      </c>
    </row>
    <row r="19" spans="1:24" s="41" customFormat="1" ht="18.75" x14ac:dyDescent="0.3">
      <c r="B19" s="10"/>
      <c r="D19" s="26"/>
      <c r="E19" s="56">
        <f>+E14+E15</f>
        <v>0.68614615000000001</v>
      </c>
      <c r="F19" s="56">
        <f t="shared" ref="F19:M19" si="4">+F14+F15</f>
        <v>1.2217401099999998</v>
      </c>
      <c r="G19" s="56">
        <f t="shared" si="4"/>
        <v>2.552698000000006E-2</v>
      </c>
      <c r="H19" s="56">
        <f t="shared" si="4"/>
        <v>-0.19378677000000002</v>
      </c>
      <c r="I19" s="56">
        <f t="shared" si="4"/>
        <v>1.0686673400000002</v>
      </c>
      <c r="J19" s="56">
        <f t="shared" si="4"/>
        <v>0.71588989000000025</v>
      </c>
      <c r="K19" s="56">
        <f t="shared" si="4"/>
        <v>0.33176146000000006</v>
      </c>
      <c r="L19" s="56">
        <f t="shared" si="4"/>
        <v>-8.4844549999999991E-2</v>
      </c>
      <c r="M19" s="56">
        <f t="shared" si="4"/>
        <v>2.5986940000000001</v>
      </c>
      <c r="N19" s="56">
        <f t="shared" ref="N19" si="5">+N14+N15</f>
        <v>-0.18601599999999999</v>
      </c>
      <c r="O19" s="56"/>
      <c r="V19" s="69" t="s">
        <v>183</v>
      </c>
      <c r="W19" s="63">
        <v>-75</v>
      </c>
    </row>
    <row r="20" spans="1:24" s="41" customFormat="1" ht="18.75" x14ac:dyDescent="0.3">
      <c r="B20" s="10"/>
      <c r="D20" s="26"/>
      <c r="E20" s="71">
        <f>+E19/E17</f>
        <v>9.3277136159239646E-2</v>
      </c>
      <c r="F20" s="71">
        <f t="shared" ref="F20:M20" si="6">+F19/F17</f>
        <v>0.13731254666831003</v>
      </c>
      <c r="G20" s="71">
        <f t="shared" si="6"/>
        <v>3.0100126077849888E-3</v>
      </c>
      <c r="H20" s="71">
        <f t="shared" si="6"/>
        <v>-2.3284163591009769E-2</v>
      </c>
      <c r="I20" s="71">
        <f t="shared" si="6"/>
        <v>0.10153989071383736</v>
      </c>
      <c r="J20" s="71">
        <f t="shared" si="6"/>
        <v>6.5703173428337799E-2</v>
      </c>
      <c r="K20" s="71">
        <f t="shared" si="6"/>
        <v>3.0311099694410901E-2</v>
      </c>
      <c r="L20" s="71">
        <f t="shared" si="6"/>
        <v>-8.0960323521019825E-3</v>
      </c>
      <c r="M20" s="71">
        <f t="shared" si="6"/>
        <v>0.17701356204930652</v>
      </c>
      <c r="N20" s="71">
        <f t="shared" ref="N20" si="7">+N19/N17</f>
        <v>-1.2538589802594684E-2</v>
      </c>
      <c r="O20" s="71"/>
      <c r="V20" s="41" t="s">
        <v>72</v>
      </c>
      <c r="W20" s="63">
        <v>1711871.0999999999</v>
      </c>
    </row>
    <row r="21" spans="1:24" s="41" customFormat="1" ht="18.75" customHeight="1" x14ac:dyDescent="0.25">
      <c r="A21" s="26"/>
      <c r="B21" s="72" t="s">
        <v>184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V21" s="41" t="s">
        <v>71</v>
      </c>
      <c r="W21" s="63">
        <v>-85190.720000000001</v>
      </c>
    </row>
    <row r="22" spans="1:24" s="41" customFormat="1" ht="18.75" customHeight="1" x14ac:dyDescent="0.25">
      <c r="A22" s="26"/>
      <c r="B22" s="72" t="s">
        <v>185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V22" s="41" t="s">
        <v>70</v>
      </c>
      <c r="W22" s="63">
        <v>3563003.53</v>
      </c>
    </row>
    <row r="23" spans="1:24" ht="18.75" x14ac:dyDescent="0.3">
      <c r="A23" s="73"/>
      <c r="B23" s="74"/>
      <c r="V23" s="26" t="s">
        <v>68</v>
      </c>
      <c r="W23" s="61"/>
    </row>
    <row r="24" spans="1:24" ht="24" thickBot="1" x14ac:dyDescent="0.4">
      <c r="A24" s="73"/>
      <c r="B24" s="47" t="s">
        <v>186</v>
      </c>
      <c r="E24" s="75">
        <v>69</v>
      </c>
      <c r="F24" s="75">
        <v>77</v>
      </c>
      <c r="G24" s="75">
        <v>89</v>
      </c>
      <c r="H24" s="75">
        <v>103</v>
      </c>
      <c r="I24" s="75">
        <v>119</v>
      </c>
      <c r="J24" s="75">
        <v>122</v>
      </c>
      <c r="K24" s="75">
        <v>122</v>
      </c>
      <c r="L24" s="75">
        <v>121</v>
      </c>
      <c r="M24" s="75">
        <f>+L24</f>
        <v>121</v>
      </c>
      <c r="N24" s="75"/>
      <c r="O24" s="75"/>
      <c r="V24" s="26" t="s">
        <v>67</v>
      </c>
      <c r="W24" s="61"/>
    </row>
    <row r="25" spans="1:24" ht="15.75" thickTop="1" x14ac:dyDescent="0.25">
      <c r="M25" s="26">
        <v>17</v>
      </c>
      <c r="V25" s="26" t="s">
        <v>66</v>
      </c>
    </row>
    <row r="26" spans="1:24" x14ac:dyDescent="0.25">
      <c r="B26" s="41"/>
      <c r="M26" s="26">
        <v>27</v>
      </c>
      <c r="W26" s="61">
        <v>2320956.13</v>
      </c>
    </row>
    <row r="27" spans="1:24" x14ac:dyDescent="0.25">
      <c r="M27" s="26">
        <v>12</v>
      </c>
      <c r="W27" s="61"/>
    </row>
    <row r="28" spans="1:24" x14ac:dyDescent="0.25">
      <c r="M28" s="26">
        <v>6</v>
      </c>
    </row>
    <row r="29" spans="1:24" x14ac:dyDescent="0.25">
      <c r="B29" s="79" t="s">
        <v>187</v>
      </c>
      <c r="C29" s="76" t="s">
        <v>188</v>
      </c>
      <c r="D29" s="2"/>
      <c r="E29" s="2"/>
      <c r="F29" s="2"/>
      <c r="G29" s="2"/>
      <c r="H29" s="2"/>
      <c r="I29" s="2"/>
      <c r="J29" s="2"/>
      <c r="M29" s="26">
        <v>68</v>
      </c>
    </row>
    <row r="30" spans="1:24" x14ac:dyDescent="0.25">
      <c r="B30" s="2"/>
      <c r="C30" s="2"/>
      <c r="D30" s="2"/>
      <c r="E30" s="2"/>
      <c r="F30" s="2"/>
      <c r="G30" s="2"/>
      <c r="H30" s="2"/>
      <c r="I30" s="2"/>
      <c r="J30" s="2"/>
    </row>
    <row r="31" spans="1:24" x14ac:dyDescent="0.25">
      <c r="B31" s="76"/>
      <c r="C31" s="79" t="s">
        <v>189</v>
      </c>
      <c r="D31" s="76"/>
      <c r="E31" s="76"/>
      <c r="F31" s="76"/>
      <c r="G31" s="76"/>
      <c r="H31" s="76"/>
      <c r="I31" s="76"/>
      <c r="J31" s="76"/>
    </row>
    <row r="32" spans="1:24" x14ac:dyDescent="0.25">
      <c r="B32" s="79" t="s">
        <v>190</v>
      </c>
      <c r="C32" s="76">
        <v>13</v>
      </c>
      <c r="D32" s="76">
        <v>14</v>
      </c>
      <c r="E32" s="76">
        <v>15</v>
      </c>
      <c r="F32" s="76">
        <v>16</v>
      </c>
      <c r="G32" s="76">
        <v>17</v>
      </c>
      <c r="H32" s="76">
        <v>18</v>
      </c>
      <c r="I32" s="76">
        <v>19</v>
      </c>
      <c r="J32" s="76" t="s">
        <v>191</v>
      </c>
    </row>
    <row r="33" spans="2:10" x14ac:dyDescent="0.25">
      <c r="B33" s="77" t="s">
        <v>192</v>
      </c>
      <c r="C33" s="77">
        <v>6779926.46</v>
      </c>
      <c r="D33" s="77">
        <v>7355995.04</v>
      </c>
      <c r="E33" s="77">
        <v>8897512.5799999945</v>
      </c>
      <c r="F33" s="78">
        <v>8480688.7400000002</v>
      </c>
      <c r="G33" s="77">
        <v>8322685.4800000004</v>
      </c>
      <c r="H33" s="77">
        <v>10524606.049999999</v>
      </c>
      <c r="I33" s="77">
        <v>10895819.149999999</v>
      </c>
      <c r="J33" s="77">
        <v>61257233.499999993</v>
      </c>
    </row>
    <row r="34" spans="2:10" x14ac:dyDescent="0.25">
      <c r="B34" s="77" t="s">
        <v>193</v>
      </c>
      <c r="C34" s="77">
        <v>838213.75999999989</v>
      </c>
      <c r="D34" s="77">
        <v>1131399.8599999999</v>
      </c>
      <c r="E34" s="77">
        <v>656971.10000000009</v>
      </c>
      <c r="F34" s="78">
        <v>1306477.73</v>
      </c>
      <c r="G34" s="77">
        <v>2076691.76</v>
      </c>
      <c r="H34" s="77">
        <v>1059032.2000000002</v>
      </c>
      <c r="I34" s="77">
        <v>1230168.97</v>
      </c>
      <c r="J34" s="77">
        <v>8298955.3799999999</v>
      </c>
    </row>
    <row r="35" spans="2:10" x14ac:dyDescent="0.25">
      <c r="B35" s="77" t="s">
        <v>194</v>
      </c>
      <c r="C35" s="77">
        <v>-948291.34</v>
      </c>
      <c r="D35" s="77">
        <v>-811622.42999999993</v>
      </c>
      <c r="E35" s="77">
        <v>-1099321.92</v>
      </c>
      <c r="F35" s="78">
        <v>-1270694.22</v>
      </c>
      <c r="G35" s="77">
        <v>-943438.6</v>
      </c>
      <c r="H35" s="77">
        <v>-1403708.9900000002</v>
      </c>
      <c r="I35" s="77">
        <v>-1512535.92</v>
      </c>
      <c r="J35" s="77">
        <v>-7989613.4199999999</v>
      </c>
    </row>
    <row r="36" spans="2:10" x14ac:dyDescent="0.25">
      <c r="B36" s="77" t="s">
        <v>195</v>
      </c>
      <c r="C36" s="77">
        <v>755345.82000000007</v>
      </c>
      <c r="D36" s="77">
        <v>1300111.6499999999</v>
      </c>
      <c r="E36" s="77">
        <v>110032.88000000005</v>
      </c>
      <c r="F36" s="78">
        <v>-113259.13000000002</v>
      </c>
      <c r="G36" s="77">
        <v>1158533.4100000001</v>
      </c>
      <c r="H36" s="77">
        <v>822407.97000000032</v>
      </c>
      <c r="I36" s="77">
        <v>439317.13000000006</v>
      </c>
      <c r="J36" s="77">
        <v>4472489.7300000004</v>
      </c>
    </row>
    <row r="37" spans="2:10" x14ac:dyDescent="0.25">
      <c r="B37" s="77" t="s">
        <v>196</v>
      </c>
      <c r="C37" s="77">
        <v>-69199.670000000013</v>
      </c>
      <c r="D37" s="77">
        <v>-78371.540000000037</v>
      </c>
      <c r="E37" s="77">
        <v>-84505.9</v>
      </c>
      <c r="F37" s="78">
        <v>-80527.640000000014</v>
      </c>
      <c r="G37" s="77">
        <v>-89866.070000000036</v>
      </c>
      <c r="H37" s="77">
        <v>-106518.08000000003</v>
      </c>
      <c r="I37" s="77">
        <v>-107555.67</v>
      </c>
      <c r="J37" s="77">
        <v>-616544.57000000007</v>
      </c>
    </row>
    <row r="38" spans="2:10" x14ac:dyDescent="0.25">
      <c r="B38" s="77" t="s">
        <v>197</v>
      </c>
      <c r="C38" s="77">
        <v>7355995.04</v>
      </c>
      <c r="D38" s="77">
        <v>8897512.5799999945</v>
      </c>
      <c r="E38" s="77">
        <v>8480688.7400000002</v>
      </c>
      <c r="F38" s="78">
        <v>8322685.4800000004</v>
      </c>
      <c r="G38" s="77">
        <v>10524606.049999999</v>
      </c>
      <c r="H38" s="77">
        <v>10895819.15</v>
      </c>
      <c r="I38" s="77">
        <v>10945213.660000002</v>
      </c>
      <c r="J38" s="77">
        <v>65422520.699999996</v>
      </c>
    </row>
    <row r="39" spans="2:10" x14ac:dyDescent="0.25">
      <c r="B39" s="2"/>
      <c r="C39" s="2"/>
      <c r="D39" s="2"/>
      <c r="E39" s="2"/>
      <c r="F39" s="77"/>
      <c r="G39" s="2"/>
      <c r="H39" s="2"/>
      <c r="I39" s="2"/>
      <c r="J39" s="2"/>
    </row>
    <row r="40" spans="2:10" x14ac:dyDescent="0.25">
      <c r="I40" s="26" t="e">
        <f>+GETPIVOTDATA("Sum of Beginning Balance",'[2]SOA Jul19_Apr20'!$D$134)</f>
        <v>#REF!</v>
      </c>
    </row>
    <row r="41" spans="2:10" x14ac:dyDescent="0.25">
      <c r="I41" s="26" t="e">
        <f>+I40-GETPIVOTDATA("Sum of Ending Balance",$B$31,"FY",19)</f>
        <v>#REF!</v>
      </c>
    </row>
  </sheetData>
  <mergeCells count="5">
    <mergeCell ref="A1:O1"/>
    <mergeCell ref="A2:O2"/>
    <mergeCell ref="A3:O3"/>
    <mergeCell ref="A4:O4"/>
    <mergeCell ref="A5:O5"/>
  </mergeCells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X44"/>
  <sheetViews>
    <sheetView topLeftCell="A4" workbookViewId="0">
      <selection activeCell="F27" sqref="F27"/>
    </sheetView>
    <sheetView topLeftCell="B1" zoomScale="120" zoomScaleNormal="120" workbookViewId="1">
      <pane xSplit="1" ySplit="6" topLeftCell="C22" activePane="bottomRight" state="frozen"/>
      <selection activeCell="B1" sqref="B1"/>
      <selection pane="topRight" activeCell="C1" sqref="C1"/>
      <selection pane="bottomLeft" activeCell="B7" sqref="B7"/>
      <selection pane="bottomRight" activeCell="F34" sqref="F34"/>
    </sheetView>
  </sheetViews>
  <sheetFormatPr defaultColWidth="9.140625" defaultRowHeight="15" x14ac:dyDescent="0.25"/>
  <cols>
    <col min="1" max="1" width="5.42578125" style="10" customWidth="1"/>
    <col min="2" max="2" width="33.85546875" style="10" customWidth="1"/>
    <col min="3" max="3" width="14.5703125" style="10" customWidth="1"/>
    <col min="4" max="4" width="14.7109375" style="10" bestFit="1" customWidth="1"/>
    <col min="5" max="5" width="5.140625" style="10" customWidth="1"/>
    <col min="6" max="6" width="14.28515625" style="10" bestFit="1" customWidth="1"/>
    <col min="7" max="7" width="10.28515625" style="10" customWidth="1"/>
    <col min="8" max="8" width="13" style="10" customWidth="1"/>
    <col min="9" max="14" width="10.28515625" style="10" customWidth="1"/>
    <col min="15" max="15" width="14.28515625" style="10" bestFit="1" customWidth="1"/>
    <col min="16" max="16" width="12.5703125" style="10" customWidth="1"/>
    <col min="17" max="17" width="11.28515625" style="10" bestFit="1" customWidth="1"/>
    <col min="18" max="19" width="9.140625" style="10"/>
    <col min="20" max="20" width="16.5703125" style="10" customWidth="1"/>
    <col min="21" max="21" width="15.7109375" style="10" customWidth="1"/>
    <col min="22" max="22" width="16.85546875" style="10" customWidth="1"/>
    <col min="23" max="16384" width="9.140625" style="10"/>
  </cols>
  <sheetData>
    <row r="1" spans="2:24" ht="18" customHeight="1" x14ac:dyDescent="0.25">
      <c r="B1" s="98" t="s">
        <v>147</v>
      </c>
      <c r="C1" s="98"/>
      <c r="D1" s="98"/>
      <c r="E1" s="98"/>
      <c r="F1" s="98"/>
    </row>
    <row r="2" spans="2:24" ht="21" x14ac:dyDescent="0.25">
      <c r="B2" s="98" t="s">
        <v>148</v>
      </c>
      <c r="C2" s="98"/>
      <c r="D2" s="98"/>
      <c r="E2" s="98"/>
      <c r="F2" s="98"/>
    </row>
    <row r="3" spans="2:24" ht="21" customHeight="1" x14ac:dyDescent="0.25">
      <c r="B3" s="98" t="s">
        <v>200</v>
      </c>
      <c r="C3" s="98"/>
      <c r="D3" s="98"/>
      <c r="E3" s="98"/>
      <c r="F3" s="98"/>
    </row>
    <row r="4" spans="2:24" ht="18" customHeight="1" x14ac:dyDescent="0.25">
      <c r="B4" s="98" t="s">
        <v>149</v>
      </c>
      <c r="C4" s="98"/>
      <c r="D4" s="98"/>
      <c r="E4" s="98"/>
      <c r="F4" s="98"/>
    </row>
    <row r="6" spans="2:24" ht="12.95" customHeight="1" x14ac:dyDescent="0.25">
      <c r="D6" s="11"/>
      <c r="E6" s="12"/>
      <c r="F6" s="13"/>
    </row>
    <row r="7" spans="2:24" ht="12.95" customHeight="1" x14ac:dyDescent="0.25">
      <c r="D7" s="11"/>
      <c r="E7" s="12"/>
      <c r="F7" s="14"/>
    </row>
    <row r="8" spans="2:24" ht="12.95" hidden="1" customHeight="1" x14ac:dyDescent="0.25">
      <c r="D8" s="11"/>
      <c r="E8" s="12"/>
      <c r="F8" s="13"/>
      <c r="R8" s="2"/>
      <c r="S8" s="2"/>
      <c r="T8" s="2"/>
      <c r="U8" s="2"/>
      <c r="V8" s="2"/>
      <c r="W8" s="2"/>
    </row>
    <row r="9" spans="2:24" ht="12.95" customHeight="1" x14ac:dyDescent="0.25">
      <c r="C9" s="15"/>
      <c r="D9" s="16"/>
      <c r="E9" s="17"/>
      <c r="F9" s="18" t="s">
        <v>201</v>
      </c>
      <c r="R9" s="2"/>
      <c r="S9" s="2"/>
      <c r="T9" s="2"/>
      <c r="U9" s="2"/>
      <c r="V9" s="2"/>
      <c r="W9" s="2"/>
    </row>
    <row r="10" spans="2:24" ht="12.95" customHeight="1" x14ac:dyDescent="0.25">
      <c r="B10" s="19" t="s">
        <v>150</v>
      </c>
      <c r="C10" s="15"/>
      <c r="D10" s="16"/>
      <c r="E10" s="17"/>
      <c r="F10" s="20"/>
      <c r="R10" s="2"/>
      <c r="S10" s="2"/>
      <c r="T10" s="2"/>
      <c r="U10" s="2"/>
      <c r="V10" s="2"/>
      <c r="W10" s="2"/>
      <c r="X10" s="21"/>
    </row>
    <row r="11" spans="2:24" ht="12.95" customHeight="1" x14ac:dyDescent="0.25">
      <c r="B11" s="22" t="s">
        <v>151</v>
      </c>
      <c r="D11" s="23"/>
      <c r="E11" s="17"/>
      <c r="F11" s="24">
        <v>3088469.44</v>
      </c>
      <c r="O11" s="25"/>
      <c r="R11" s="2"/>
      <c r="S11" s="2"/>
      <c r="T11" s="2"/>
      <c r="U11" s="2"/>
      <c r="V11" s="2"/>
      <c r="W11" s="2"/>
      <c r="X11" s="26"/>
    </row>
    <row r="12" spans="2:24" ht="12.95" hidden="1" customHeight="1" x14ac:dyDescent="0.25">
      <c r="D12" s="27"/>
      <c r="F12" s="20"/>
      <c r="O12" s="25"/>
      <c r="R12" s="2"/>
      <c r="S12" s="2"/>
      <c r="T12" s="2"/>
      <c r="U12" s="2"/>
      <c r="V12" s="2"/>
      <c r="W12" s="2"/>
      <c r="X12" s="26"/>
    </row>
    <row r="13" spans="2:24" ht="12.95" customHeight="1" x14ac:dyDescent="0.25">
      <c r="D13" s="27"/>
      <c r="F13" s="20"/>
      <c r="O13" s="25"/>
      <c r="R13" s="2"/>
      <c r="S13" s="2"/>
      <c r="T13" s="2"/>
      <c r="U13" s="2"/>
      <c r="V13" s="2"/>
      <c r="W13" s="2"/>
      <c r="X13" s="26"/>
    </row>
    <row r="14" spans="2:24" ht="12.95" customHeight="1" x14ac:dyDescent="0.25">
      <c r="B14" s="19" t="s">
        <v>152</v>
      </c>
      <c r="D14" s="27"/>
      <c r="F14" s="28"/>
      <c r="O14" s="25"/>
      <c r="R14" s="2"/>
      <c r="S14" s="2"/>
      <c r="T14" s="2"/>
      <c r="U14" s="2"/>
      <c r="V14" s="2"/>
      <c r="W14" s="2"/>
    </row>
    <row r="15" spans="2:24" ht="12.95" hidden="1" customHeight="1" x14ac:dyDescent="0.25">
      <c r="D15" s="27"/>
      <c r="F15" s="20"/>
      <c r="O15" s="25"/>
      <c r="R15" s="2"/>
      <c r="S15" s="2"/>
      <c r="T15" s="2"/>
      <c r="U15" s="2"/>
      <c r="V15" s="2"/>
      <c r="W15" s="2"/>
    </row>
    <row r="16" spans="2:24" ht="12.95" customHeight="1" x14ac:dyDescent="0.25">
      <c r="B16" s="22" t="s">
        <v>153</v>
      </c>
      <c r="C16" s="22"/>
      <c r="D16" s="27"/>
      <c r="F16" s="20">
        <v>6898891.7599999998</v>
      </c>
      <c r="G16" s="29"/>
      <c r="H16" s="29"/>
      <c r="I16" s="29"/>
      <c r="J16" s="29"/>
      <c r="K16" s="29"/>
      <c r="L16" s="29"/>
      <c r="M16" s="29"/>
      <c r="N16" s="29"/>
      <c r="O16" s="25"/>
      <c r="P16" s="30"/>
      <c r="R16" s="2"/>
      <c r="S16" s="2"/>
      <c r="T16" s="2"/>
      <c r="U16" s="2"/>
      <c r="V16" s="2"/>
      <c r="W16" s="2"/>
    </row>
    <row r="17" spans="2:23" ht="12.95" customHeight="1" x14ac:dyDescent="0.25">
      <c r="D17" s="27"/>
      <c r="O17" s="25"/>
      <c r="R17" s="2"/>
      <c r="S17" s="2"/>
      <c r="T17" s="2"/>
      <c r="U17" s="2"/>
      <c r="V17" s="2"/>
      <c r="W17" s="2"/>
    </row>
    <row r="18" spans="2:23" ht="12.95" hidden="1" customHeight="1" x14ac:dyDescent="0.25">
      <c r="D18" s="27"/>
      <c r="F18" s="20"/>
      <c r="R18" s="2"/>
      <c r="S18" s="2"/>
      <c r="T18" s="2"/>
      <c r="U18" s="2"/>
      <c r="V18" s="2"/>
      <c r="W18" s="2"/>
    </row>
    <row r="19" spans="2:23" ht="12.95" customHeight="1" x14ac:dyDescent="0.25">
      <c r="B19" s="19" t="s">
        <v>154</v>
      </c>
      <c r="D19" s="27"/>
      <c r="F19" s="28"/>
      <c r="R19" s="2"/>
      <c r="S19" s="2"/>
      <c r="T19" s="2"/>
      <c r="U19" s="2"/>
      <c r="V19" s="2"/>
      <c r="W19" s="2"/>
    </row>
    <row r="20" spans="2:23" ht="12.95" hidden="1" customHeight="1" x14ac:dyDescent="0.25">
      <c r="D20" s="31"/>
      <c r="F20" s="20"/>
    </row>
    <row r="21" spans="2:23" ht="12.95" customHeight="1" x14ac:dyDescent="0.25">
      <c r="B21" s="22" t="s">
        <v>155</v>
      </c>
      <c r="C21" s="22"/>
      <c r="D21" s="25"/>
      <c r="F21" s="20">
        <v>824317.37</v>
      </c>
      <c r="G21" s="29"/>
      <c r="H21" s="29"/>
      <c r="I21" s="29"/>
      <c r="J21" s="29"/>
      <c r="K21" s="29"/>
      <c r="L21" s="29"/>
      <c r="M21" s="29"/>
      <c r="N21" s="29"/>
      <c r="O21" s="30"/>
      <c r="P21" s="30"/>
    </row>
    <row r="22" spans="2:23" ht="12.95" customHeight="1" x14ac:dyDescent="0.25">
      <c r="D22" s="25"/>
      <c r="F22" s="20"/>
    </row>
    <row r="23" spans="2:23" ht="12.95" hidden="1" customHeight="1" x14ac:dyDescent="0.25">
      <c r="F23" s="20"/>
    </row>
    <row r="24" spans="2:23" ht="12.95" customHeight="1" x14ac:dyDescent="0.25">
      <c r="B24" s="19" t="s">
        <v>199</v>
      </c>
      <c r="F24" s="32">
        <f>4007760.42+14672.08</f>
        <v>4022432.5</v>
      </c>
    </row>
    <row r="25" spans="2:23" ht="12.95" hidden="1" customHeight="1" x14ac:dyDescent="0.25">
      <c r="F25" s="33"/>
    </row>
    <row r="26" spans="2:23" ht="12.95" customHeight="1" x14ac:dyDescent="0.25">
      <c r="F26" s="33"/>
    </row>
    <row r="27" spans="2:23" ht="12.95" customHeight="1" x14ac:dyDescent="0.25">
      <c r="B27" s="19" t="s">
        <v>156</v>
      </c>
      <c r="F27" s="34">
        <v>491887.71</v>
      </c>
    </row>
    <row r="28" spans="2:23" ht="12.95" customHeight="1" x14ac:dyDescent="0.25">
      <c r="B28" s="19"/>
      <c r="P28" s="35"/>
    </row>
    <row r="29" spans="2:23" ht="15.75" thickBot="1" x14ac:dyDescent="0.3">
      <c r="B29" s="19" t="s">
        <v>157</v>
      </c>
      <c r="F29" s="36">
        <f>SUM(F11:F28)</f>
        <v>15325998.779999999</v>
      </c>
      <c r="H29" s="25">
        <f>15526406+158832.86</f>
        <v>15685238.859999999</v>
      </c>
      <c r="I29" s="10" t="s">
        <v>206</v>
      </c>
    </row>
    <row r="30" spans="2:23" ht="15.75" thickTop="1" x14ac:dyDescent="0.25">
      <c r="B30" s="19"/>
      <c r="F30" s="37"/>
    </row>
    <row r="31" spans="2:23" x14ac:dyDescent="0.25">
      <c r="B31" s="19"/>
      <c r="F31" s="37"/>
    </row>
    <row r="32" spans="2:23" x14ac:dyDescent="0.25">
      <c r="B32" s="19"/>
      <c r="F32" s="37"/>
    </row>
    <row r="33" spans="2:24" x14ac:dyDescent="0.25">
      <c r="B33" s="19"/>
      <c r="F33" s="25"/>
    </row>
    <row r="34" spans="2:24" x14ac:dyDescent="0.25">
      <c r="D34" s="10" t="s">
        <v>158</v>
      </c>
      <c r="F34" s="35">
        <f>+F29-F27</f>
        <v>14834111.069999998</v>
      </c>
    </row>
    <row r="36" spans="2:24" x14ac:dyDescent="0.25">
      <c r="F36" s="38"/>
      <c r="O36" s="39"/>
    </row>
    <row r="37" spans="2:24" x14ac:dyDescent="0.25">
      <c r="D37" s="90"/>
      <c r="E37" s="91"/>
      <c r="F37" s="40"/>
    </row>
    <row r="38" spans="2:24" x14ac:dyDescent="0.25">
      <c r="D38" s="91"/>
      <c r="E38" s="91"/>
      <c r="F38" s="40"/>
      <c r="X38" s="10" t="s">
        <v>159</v>
      </c>
    </row>
    <row r="39" spans="2:24" x14ac:dyDescent="0.25">
      <c r="D39" s="91"/>
      <c r="E39" s="91"/>
      <c r="F39" s="40"/>
      <c r="X39" s="10" t="s">
        <v>160</v>
      </c>
    </row>
    <row r="40" spans="2:24" x14ac:dyDescent="0.25">
      <c r="D40" s="91"/>
      <c r="E40" s="91"/>
      <c r="F40" s="40"/>
      <c r="X40" s="10" t="s">
        <v>161</v>
      </c>
    </row>
    <row r="41" spans="2:24" x14ac:dyDescent="0.25">
      <c r="F41" s="40"/>
      <c r="X41" s="10" t="s">
        <v>162</v>
      </c>
    </row>
    <row r="42" spans="2:24" x14ac:dyDescent="0.25">
      <c r="F42" s="29"/>
    </row>
    <row r="43" spans="2:24" x14ac:dyDescent="0.25">
      <c r="F43" s="29"/>
    </row>
    <row r="44" spans="2:24" x14ac:dyDescent="0.25">
      <c r="F44" s="29"/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7"/>
  <sheetViews>
    <sheetView topLeftCell="A12" workbookViewId="0">
      <selection activeCell="E39" sqref="E39"/>
    </sheetView>
    <sheetView workbookViewId="1">
      <selection activeCell="B8" sqref="B8"/>
    </sheetView>
  </sheetViews>
  <sheetFormatPr defaultRowHeight="15" x14ac:dyDescent="0.25"/>
  <cols>
    <col min="1" max="1" width="43.85546875" style="88" customWidth="1"/>
    <col min="2" max="2" width="39.5703125" style="88" customWidth="1"/>
    <col min="3" max="16384" width="9.140625" style="88"/>
  </cols>
  <sheetData>
    <row r="1" spans="1:2" ht="18" x14ac:dyDescent="0.25">
      <c r="A1" s="101" t="s">
        <v>59</v>
      </c>
      <c r="B1" s="100"/>
    </row>
    <row r="2" spans="1:2" ht="18" x14ac:dyDescent="0.25">
      <c r="A2" s="101" t="s">
        <v>60</v>
      </c>
      <c r="B2" s="100"/>
    </row>
    <row r="3" spans="1:2" x14ac:dyDescent="0.25">
      <c r="A3" s="102" t="s">
        <v>202</v>
      </c>
      <c r="B3" s="100"/>
    </row>
    <row r="5" spans="1:2" x14ac:dyDescent="0.25">
      <c r="A5" s="1"/>
      <c r="B5" s="89" t="s">
        <v>0</v>
      </c>
    </row>
    <row r="6" spans="1:2" x14ac:dyDescent="0.25">
      <c r="A6" s="4" t="s">
        <v>1</v>
      </c>
      <c r="B6" s="3"/>
    </row>
    <row r="7" spans="1:2" x14ac:dyDescent="0.25">
      <c r="A7" s="4" t="s">
        <v>2</v>
      </c>
      <c r="B7" s="3"/>
    </row>
    <row r="8" spans="1:2" x14ac:dyDescent="0.25">
      <c r="A8" s="4" t="s">
        <v>3</v>
      </c>
      <c r="B8" s="3"/>
    </row>
    <row r="9" spans="1:2" x14ac:dyDescent="0.25">
      <c r="A9" s="4" t="s">
        <v>4</v>
      </c>
      <c r="B9" s="8">
        <f>0</f>
        <v>0</v>
      </c>
    </row>
    <row r="10" spans="1:2" x14ac:dyDescent="0.25">
      <c r="A10" s="4" t="s">
        <v>5</v>
      </c>
      <c r="B10" s="8">
        <f>5849.52</f>
        <v>5849.52</v>
      </c>
    </row>
    <row r="11" spans="1:2" x14ac:dyDescent="0.25">
      <c r="A11" s="4" t="s">
        <v>6</v>
      </c>
      <c r="B11" s="8">
        <f>40488.93</f>
        <v>40488.93</v>
      </c>
    </row>
    <row r="12" spans="1:2" x14ac:dyDescent="0.25">
      <c r="A12" s="4" t="s">
        <v>7</v>
      </c>
      <c r="B12" s="8">
        <f>9992.6</f>
        <v>9992.6</v>
      </c>
    </row>
    <row r="13" spans="1:2" x14ac:dyDescent="0.25">
      <c r="A13" s="4" t="s">
        <v>8</v>
      </c>
      <c r="B13" s="8">
        <f>-124.93</f>
        <v>-124.93</v>
      </c>
    </row>
    <row r="14" spans="1:2" x14ac:dyDescent="0.25">
      <c r="A14" s="4" t="s">
        <v>9</v>
      </c>
      <c r="B14" s="6">
        <f>((((B9)+(B10))+(B11))+(B12))+(B13)</f>
        <v>56206.119999999995</v>
      </c>
    </row>
    <row r="15" spans="1:2" x14ac:dyDescent="0.25">
      <c r="A15" s="4" t="s">
        <v>10</v>
      </c>
      <c r="B15" s="3"/>
    </row>
    <row r="16" spans="1:2" x14ac:dyDescent="0.25">
      <c r="A16" s="4" t="s">
        <v>11</v>
      </c>
      <c r="B16" s="8">
        <f>5000</f>
        <v>5000</v>
      </c>
    </row>
    <row r="17" spans="1:2" x14ac:dyDescent="0.25">
      <c r="A17" s="4" t="s">
        <v>12</v>
      </c>
      <c r="B17" s="6">
        <f>B16</f>
        <v>5000</v>
      </c>
    </row>
    <row r="18" spans="1:2" x14ac:dyDescent="0.25">
      <c r="A18" s="4" t="s">
        <v>13</v>
      </c>
      <c r="B18" s="3"/>
    </row>
    <row r="19" spans="1:2" x14ac:dyDescent="0.25">
      <c r="A19" s="4" t="s">
        <v>14</v>
      </c>
      <c r="B19" s="8">
        <f>0</f>
        <v>0</v>
      </c>
    </row>
    <row r="20" spans="1:2" x14ac:dyDescent="0.25">
      <c r="A20" s="4" t="s">
        <v>15</v>
      </c>
      <c r="B20" s="6">
        <f>B19</f>
        <v>0</v>
      </c>
    </row>
    <row r="21" spans="1:2" x14ac:dyDescent="0.25">
      <c r="A21" s="4" t="s">
        <v>16</v>
      </c>
      <c r="B21" s="6">
        <f>((B14)+(B17))+(B20)</f>
        <v>61206.119999999995</v>
      </c>
    </row>
    <row r="22" spans="1:2" x14ac:dyDescent="0.25">
      <c r="A22" s="4" t="s">
        <v>17</v>
      </c>
      <c r="B22" s="3"/>
    </row>
    <row r="23" spans="1:2" x14ac:dyDescent="0.25">
      <c r="A23" s="4" t="s">
        <v>18</v>
      </c>
      <c r="B23" s="8">
        <f>2328.97</f>
        <v>2328.9699999999998</v>
      </c>
    </row>
    <row r="24" spans="1:2" x14ac:dyDescent="0.25">
      <c r="A24" s="4" t="s">
        <v>19</v>
      </c>
      <c r="B24" s="8">
        <f>-1099.61</f>
        <v>-1099.6099999999999</v>
      </c>
    </row>
    <row r="25" spans="1:2" x14ac:dyDescent="0.25">
      <c r="A25" s="4" t="s">
        <v>20</v>
      </c>
      <c r="B25" s="6">
        <f>(B23)+(B24)</f>
        <v>1229.3599999999999</v>
      </c>
    </row>
    <row r="26" spans="1:2" x14ac:dyDescent="0.25">
      <c r="A26" s="4" t="s">
        <v>21</v>
      </c>
      <c r="B26" s="6">
        <f>B25</f>
        <v>1229.3599999999999</v>
      </c>
    </row>
    <row r="27" spans="1:2" x14ac:dyDescent="0.25">
      <c r="A27" s="4" t="s">
        <v>22</v>
      </c>
      <c r="B27" s="3"/>
    </row>
    <row r="28" spans="1:2" x14ac:dyDescent="0.25">
      <c r="A28" s="4" t="s">
        <v>23</v>
      </c>
      <c r="B28" s="3"/>
    </row>
    <row r="29" spans="1:2" x14ac:dyDescent="0.25">
      <c r="A29" s="4" t="s">
        <v>24</v>
      </c>
      <c r="B29" s="8">
        <f>12237529.34</f>
        <v>12237529.34</v>
      </c>
    </row>
    <row r="30" spans="1:2" x14ac:dyDescent="0.25">
      <c r="A30" s="4" t="s">
        <v>25</v>
      </c>
      <c r="B30" s="8">
        <f>3081702.07</f>
        <v>3081702.07</v>
      </c>
    </row>
    <row r="31" spans="1:2" x14ac:dyDescent="0.25">
      <c r="A31" s="4" t="s">
        <v>26</v>
      </c>
      <c r="B31" s="8">
        <f>6767.37</f>
        <v>6767.37</v>
      </c>
    </row>
    <row r="32" spans="1:2" x14ac:dyDescent="0.25">
      <c r="A32" s="4" t="s">
        <v>27</v>
      </c>
      <c r="B32" s="6">
        <f>(((B28)+(B29))+(B30))+(B31)</f>
        <v>15325998.779999999</v>
      </c>
    </row>
    <row r="33" spans="1:2" x14ac:dyDescent="0.25">
      <c r="A33" s="4" t="s">
        <v>28</v>
      </c>
      <c r="B33" s="8">
        <f>0</f>
        <v>0</v>
      </c>
    </row>
    <row r="34" spans="1:2" x14ac:dyDescent="0.25">
      <c r="A34" s="4" t="s">
        <v>29</v>
      </c>
      <c r="B34" s="8">
        <f>0</f>
        <v>0</v>
      </c>
    </row>
    <row r="35" spans="1:2" x14ac:dyDescent="0.25">
      <c r="A35" s="4" t="s">
        <v>30</v>
      </c>
      <c r="B35" s="6">
        <f>(B33)+(B34)</f>
        <v>0</v>
      </c>
    </row>
    <row r="36" spans="1:2" x14ac:dyDescent="0.25">
      <c r="A36" s="4" t="s">
        <v>31</v>
      </c>
      <c r="B36" s="8">
        <f>54546.89</f>
        <v>54546.89</v>
      </c>
    </row>
    <row r="37" spans="1:2" x14ac:dyDescent="0.25">
      <c r="A37" s="4" t="s">
        <v>32</v>
      </c>
      <c r="B37" s="8">
        <f>10561.69</f>
        <v>10561.69</v>
      </c>
    </row>
    <row r="38" spans="1:2" x14ac:dyDescent="0.25">
      <c r="A38" s="4" t="s">
        <v>33</v>
      </c>
      <c r="B38" s="8">
        <f>0</f>
        <v>0</v>
      </c>
    </row>
    <row r="39" spans="1:2" x14ac:dyDescent="0.25">
      <c r="A39" s="4" t="s">
        <v>34</v>
      </c>
      <c r="B39" s="8">
        <f>0</f>
        <v>0</v>
      </c>
    </row>
    <row r="40" spans="1:2" x14ac:dyDescent="0.25">
      <c r="A40" s="4" t="s">
        <v>35</v>
      </c>
      <c r="B40" s="8">
        <f>0</f>
        <v>0</v>
      </c>
    </row>
    <row r="41" spans="1:2" x14ac:dyDescent="0.25">
      <c r="A41" s="4" t="s">
        <v>36</v>
      </c>
      <c r="B41" s="6">
        <f>((((((B32)+(B35))+(B36))+(B37))+(B38))+(B39))+(B40)</f>
        <v>15391107.359999999</v>
      </c>
    </row>
    <row r="42" spans="1:2" x14ac:dyDescent="0.25">
      <c r="A42" s="4" t="s">
        <v>37</v>
      </c>
      <c r="B42" s="6">
        <f>((B21)+(B26))+(B41)</f>
        <v>15453542.84</v>
      </c>
    </row>
    <row r="43" spans="1:2" x14ac:dyDescent="0.25">
      <c r="A43" s="4" t="s">
        <v>38</v>
      </c>
      <c r="B43" s="3"/>
    </row>
    <row r="44" spans="1:2" x14ac:dyDescent="0.25">
      <c r="A44" s="4" t="s">
        <v>39</v>
      </c>
      <c r="B44" s="3"/>
    </row>
    <row r="45" spans="1:2" x14ac:dyDescent="0.25">
      <c r="A45" s="4" t="s">
        <v>40</v>
      </c>
      <c r="B45" s="3"/>
    </row>
    <row r="46" spans="1:2" x14ac:dyDescent="0.25">
      <c r="A46" s="4" t="s">
        <v>41</v>
      </c>
      <c r="B46" s="3"/>
    </row>
    <row r="47" spans="1:2" x14ac:dyDescent="0.25">
      <c r="A47" s="4" t="s">
        <v>42</v>
      </c>
      <c r="B47" s="8">
        <f>2977.88</f>
        <v>2977.88</v>
      </c>
    </row>
    <row r="48" spans="1:2" x14ac:dyDescent="0.25">
      <c r="A48" s="4" t="s">
        <v>43</v>
      </c>
      <c r="B48" s="6">
        <f>B47</f>
        <v>2977.88</v>
      </c>
    </row>
    <row r="49" spans="1:2" x14ac:dyDescent="0.25">
      <c r="A49" s="4" t="s">
        <v>44</v>
      </c>
      <c r="B49" s="3"/>
    </row>
    <row r="50" spans="1:2" x14ac:dyDescent="0.25">
      <c r="A50" s="4" t="s">
        <v>45</v>
      </c>
      <c r="B50" s="8">
        <f>27625</f>
        <v>27625</v>
      </c>
    </row>
    <row r="51" spans="1:2" x14ac:dyDescent="0.25">
      <c r="A51" s="4" t="s">
        <v>46</v>
      </c>
      <c r="B51" s="8">
        <f>23446.14</f>
        <v>23446.14</v>
      </c>
    </row>
    <row r="52" spans="1:2" x14ac:dyDescent="0.25">
      <c r="A52" s="4" t="s">
        <v>47</v>
      </c>
      <c r="B52" s="8">
        <f>3088469.81</f>
        <v>3088469.81</v>
      </c>
    </row>
    <row r="53" spans="1:2" x14ac:dyDescent="0.25">
      <c r="A53" s="4" t="s">
        <v>48</v>
      </c>
      <c r="B53" s="6">
        <f>((B50)+(B51))+(B52)</f>
        <v>3139540.95</v>
      </c>
    </row>
    <row r="54" spans="1:2" x14ac:dyDescent="0.25">
      <c r="A54" s="4" t="s">
        <v>49</v>
      </c>
      <c r="B54" s="6">
        <f>(B48)+(B53)</f>
        <v>3142518.83</v>
      </c>
    </row>
    <row r="55" spans="1:2" x14ac:dyDescent="0.25">
      <c r="A55" s="4" t="s">
        <v>50</v>
      </c>
      <c r="B55" s="6">
        <f>B54</f>
        <v>3142518.83</v>
      </c>
    </row>
    <row r="56" spans="1:2" x14ac:dyDescent="0.25">
      <c r="A56" s="4" t="s">
        <v>51</v>
      </c>
      <c r="B56" s="3"/>
    </row>
    <row r="57" spans="1:2" x14ac:dyDescent="0.25">
      <c r="A57" s="4" t="s">
        <v>52</v>
      </c>
      <c r="B57" s="8">
        <f>3957837.96</f>
        <v>3957837.96</v>
      </c>
    </row>
    <row r="58" spans="1:2" x14ac:dyDescent="0.25">
      <c r="A58" s="4" t="s">
        <v>53</v>
      </c>
      <c r="B58" s="8">
        <f>4037882.57</f>
        <v>4037882.57</v>
      </c>
    </row>
    <row r="59" spans="1:2" x14ac:dyDescent="0.25">
      <c r="A59" s="4" t="s">
        <v>54</v>
      </c>
      <c r="B59" s="8">
        <f>822279.07</f>
        <v>822279.07</v>
      </c>
    </row>
    <row r="60" spans="1:2" x14ac:dyDescent="0.25">
      <c r="A60" s="4" t="s">
        <v>55</v>
      </c>
      <c r="B60" s="8">
        <f>4130884.21</f>
        <v>4130884.21</v>
      </c>
    </row>
    <row r="61" spans="1:2" x14ac:dyDescent="0.25">
      <c r="A61" s="4" t="s">
        <v>56</v>
      </c>
      <c r="B61" s="8">
        <f>-637859.8</f>
        <v>-637859.80000000005</v>
      </c>
    </row>
    <row r="62" spans="1:2" x14ac:dyDescent="0.25">
      <c r="A62" s="4" t="s">
        <v>57</v>
      </c>
      <c r="B62" s="6">
        <f>((((B57)+(B58))+(B59))+(B60))+(B61)</f>
        <v>12311024.009999998</v>
      </c>
    </row>
    <row r="63" spans="1:2" x14ac:dyDescent="0.25">
      <c r="A63" s="4" t="s">
        <v>58</v>
      </c>
      <c r="B63" s="6">
        <f>(B55)+(B62)</f>
        <v>15453542.839999998</v>
      </c>
    </row>
    <row r="64" spans="1:2" x14ac:dyDescent="0.25">
      <c r="A64" s="4"/>
      <c r="B64" s="3"/>
    </row>
    <row r="65" spans="1:2" x14ac:dyDescent="0.25">
      <c r="A65" s="103" t="s">
        <v>61</v>
      </c>
      <c r="B65" s="103"/>
    </row>
    <row r="67" spans="1:2" x14ac:dyDescent="0.25">
      <c r="A67" s="99" t="s">
        <v>203</v>
      </c>
      <c r="B67" s="100"/>
    </row>
  </sheetData>
  <mergeCells count="5">
    <mergeCell ref="A67:B67"/>
    <mergeCell ref="A1:B1"/>
    <mergeCell ref="A2:B2"/>
    <mergeCell ref="A3:B3"/>
    <mergeCell ref="A65:B6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K76"/>
  <sheetViews>
    <sheetView tabSelected="1" topLeftCell="A44" zoomScale="110" zoomScaleNormal="110" workbookViewId="0">
      <selection activeCell="B47" sqref="B47"/>
    </sheetView>
    <sheetView tabSelected="1" workbookViewId="1">
      <pane xSplit="1" ySplit="6" topLeftCell="B7" activePane="bottomRight" state="frozen"/>
      <selection pane="topRight" activeCell="B1" sqref="B1"/>
      <selection pane="bottomLeft" activeCell="A7" sqref="A7"/>
      <selection pane="bottomRight" activeCell="A9" sqref="A9"/>
    </sheetView>
  </sheetViews>
  <sheetFormatPr defaultRowHeight="15" x14ac:dyDescent="0.25"/>
  <cols>
    <col min="1" max="1" width="40.42578125" customWidth="1"/>
    <col min="2" max="5" width="16.28515625" customWidth="1"/>
    <col min="8" max="9" width="11.5703125" bestFit="1" customWidth="1"/>
    <col min="10" max="10" width="11.28515625" bestFit="1" customWidth="1"/>
    <col min="11" max="11" width="12.28515625" bestFit="1" customWidth="1"/>
  </cols>
  <sheetData>
    <row r="1" spans="1:10" ht="18" x14ac:dyDescent="0.25">
      <c r="A1" s="101" t="s">
        <v>59</v>
      </c>
      <c r="B1" s="100"/>
      <c r="C1" s="100"/>
      <c r="D1" s="100"/>
      <c r="E1" s="100"/>
    </row>
    <row r="2" spans="1:10" ht="18" x14ac:dyDescent="0.25">
      <c r="A2" s="101" t="s">
        <v>132</v>
      </c>
      <c r="B2" s="100"/>
      <c r="C2" s="100"/>
      <c r="D2" s="100"/>
      <c r="E2" s="100"/>
    </row>
    <row r="3" spans="1:10" x14ac:dyDescent="0.25">
      <c r="A3" s="102" t="s">
        <v>207</v>
      </c>
      <c r="B3" s="100"/>
      <c r="C3" s="100"/>
      <c r="D3" s="100"/>
      <c r="E3" s="100"/>
    </row>
    <row r="5" spans="1:10" x14ac:dyDescent="0.25">
      <c r="A5" s="1"/>
      <c r="B5" s="104" t="s">
        <v>0</v>
      </c>
      <c r="C5" s="105"/>
      <c r="D5" s="105"/>
      <c r="E5" s="105"/>
    </row>
    <row r="6" spans="1:10" x14ac:dyDescent="0.25">
      <c r="A6" s="1"/>
      <c r="B6" s="9" t="s">
        <v>131</v>
      </c>
      <c r="C6" s="9" t="s">
        <v>130</v>
      </c>
      <c r="D6" s="9" t="s">
        <v>129</v>
      </c>
      <c r="E6" s="9" t="s">
        <v>128</v>
      </c>
      <c r="H6" s="86" t="s">
        <v>131</v>
      </c>
      <c r="I6" s="86" t="s">
        <v>130</v>
      </c>
      <c r="J6" s="86" t="s">
        <v>129</v>
      </c>
    </row>
    <row r="7" spans="1:10" x14ac:dyDescent="0.25">
      <c r="A7" s="4" t="s">
        <v>127</v>
      </c>
      <c r="B7" s="3"/>
      <c r="C7" s="3"/>
      <c r="D7" s="3"/>
      <c r="E7" s="3"/>
    </row>
    <row r="8" spans="1:10" x14ac:dyDescent="0.25">
      <c r="A8" s="4" t="s">
        <v>126</v>
      </c>
      <c r="B8" s="3"/>
      <c r="C8" s="3"/>
      <c r="D8" s="8">
        <f t="shared" ref="D8:D16" si="0">(B8)-(C8)</f>
        <v>0</v>
      </c>
      <c r="E8" s="7" t="str">
        <f t="shared" ref="E8:E16" si="1">IF(C8=0,"",(B8)/(C8))</f>
        <v/>
      </c>
    </row>
    <row r="9" spans="1:10" x14ac:dyDescent="0.25">
      <c r="A9" s="4" t="s">
        <v>125</v>
      </c>
      <c r="B9" s="8">
        <f>14286.21</f>
        <v>14286.21</v>
      </c>
      <c r="C9" s="8">
        <f>15500</f>
        <v>15500</v>
      </c>
      <c r="D9" s="8">
        <f t="shared" si="0"/>
        <v>-1213.7900000000009</v>
      </c>
      <c r="E9" s="7">
        <f t="shared" si="1"/>
        <v>0.92169096774193537</v>
      </c>
    </row>
    <row r="10" spans="1:10" x14ac:dyDescent="0.25">
      <c r="A10" s="4" t="s">
        <v>124</v>
      </c>
      <c r="B10" s="3"/>
      <c r="C10" s="3"/>
      <c r="D10" s="8">
        <f t="shared" si="0"/>
        <v>0</v>
      </c>
      <c r="E10" s="7" t="str">
        <f t="shared" si="1"/>
        <v/>
      </c>
    </row>
    <row r="11" spans="1:10" x14ac:dyDescent="0.25">
      <c r="A11" s="4" t="s">
        <v>123</v>
      </c>
      <c r="B11" s="8">
        <f>36397.48</f>
        <v>36397.480000000003</v>
      </c>
      <c r="C11" s="8">
        <f>37500</f>
        <v>37500</v>
      </c>
      <c r="D11" s="8">
        <f t="shared" si="0"/>
        <v>-1102.5199999999968</v>
      </c>
      <c r="E11" s="7">
        <f t="shared" si="1"/>
        <v>0.97059946666666674</v>
      </c>
    </row>
    <row r="12" spans="1:10" x14ac:dyDescent="0.25">
      <c r="A12" s="4" t="s">
        <v>122</v>
      </c>
      <c r="B12" s="6">
        <f>(B10)+(B11)</f>
        <v>36397.480000000003</v>
      </c>
      <c r="C12" s="6">
        <f>(C10)+(C11)</f>
        <v>37500</v>
      </c>
      <c r="D12" s="6">
        <f t="shared" si="0"/>
        <v>-1102.5199999999968</v>
      </c>
      <c r="E12" s="5">
        <f t="shared" si="1"/>
        <v>0.97059946666666674</v>
      </c>
    </row>
    <row r="13" spans="1:10" x14ac:dyDescent="0.25">
      <c r="A13" s="4" t="s">
        <v>121</v>
      </c>
      <c r="B13" s="6">
        <f>((B8)+(B9))+(B12)</f>
        <v>50683.69</v>
      </c>
      <c r="C13" s="6">
        <f>((C8)+(C9))+(C12)</f>
        <v>53000</v>
      </c>
      <c r="D13" s="6">
        <f t="shared" si="0"/>
        <v>-2316.3099999999977</v>
      </c>
      <c r="E13" s="5">
        <f t="shared" si="1"/>
        <v>0.95629603773584915</v>
      </c>
    </row>
    <row r="14" spans="1:10" x14ac:dyDescent="0.25">
      <c r="A14" s="4" t="s">
        <v>120</v>
      </c>
      <c r="B14" s="8">
        <f>11.29</f>
        <v>11.29</v>
      </c>
      <c r="C14" s="3"/>
      <c r="D14" s="8">
        <f t="shared" si="0"/>
        <v>11.29</v>
      </c>
      <c r="E14" s="7" t="str">
        <f t="shared" si="1"/>
        <v/>
      </c>
    </row>
    <row r="15" spans="1:10" x14ac:dyDescent="0.25">
      <c r="A15" s="4" t="s">
        <v>119</v>
      </c>
      <c r="B15" s="6">
        <f>(B13)+(B14)</f>
        <v>50694.98</v>
      </c>
      <c r="C15" s="6">
        <f>(C13)+(C14)</f>
        <v>53000</v>
      </c>
      <c r="D15" s="6">
        <f t="shared" si="0"/>
        <v>-2305.0199999999968</v>
      </c>
      <c r="E15" s="5">
        <f t="shared" si="1"/>
        <v>0.95650905660377361</v>
      </c>
    </row>
    <row r="16" spans="1:10" x14ac:dyDescent="0.25">
      <c r="A16" s="4" t="s">
        <v>118</v>
      </c>
      <c r="B16" s="6">
        <f>(B15)-(0)</f>
        <v>50694.98</v>
      </c>
      <c r="C16" s="6">
        <f>(C15)-(0)</f>
        <v>53000</v>
      </c>
      <c r="D16" s="6">
        <f t="shared" si="0"/>
        <v>-2305.0199999999968</v>
      </c>
      <c r="E16" s="5">
        <f t="shared" si="1"/>
        <v>0.95650905660377361</v>
      </c>
      <c r="H16" s="81">
        <f>+B16</f>
        <v>50694.98</v>
      </c>
      <c r="I16" s="81">
        <f>+C16</f>
        <v>53000</v>
      </c>
      <c r="J16" s="82">
        <f>+H16-I16</f>
        <v>-2305.0199999999968</v>
      </c>
    </row>
    <row r="17" spans="1:10" x14ac:dyDescent="0.25">
      <c r="A17" s="4" t="s">
        <v>117</v>
      </c>
      <c r="B17" s="3"/>
      <c r="C17" s="3"/>
      <c r="D17" s="3"/>
      <c r="E17" s="3"/>
    </row>
    <row r="18" spans="1:10" x14ac:dyDescent="0.25">
      <c r="A18" s="4" t="s">
        <v>116</v>
      </c>
      <c r="B18" s="8">
        <f>211.84</f>
        <v>211.84</v>
      </c>
      <c r="C18" s="8">
        <f>624.99</f>
        <v>624.99</v>
      </c>
      <c r="D18" s="8">
        <f t="shared" ref="D18:D57" si="2">(B18)-(C18)</f>
        <v>-413.15</v>
      </c>
      <c r="E18" s="7">
        <f t="shared" ref="E18:E57" si="3">IF(C18=0,"",(B18)/(C18))</f>
        <v>0.33894942319077104</v>
      </c>
    </row>
    <row r="19" spans="1:10" x14ac:dyDescent="0.25">
      <c r="A19" s="4" t="s">
        <v>115</v>
      </c>
      <c r="B19" s="8">
        <f>141.09</f>
        <v>141.09</v>
      </c>
      <c r="C19" s="8">
        <f>24.99</f>
        <v>24.99</v>
      </c>
      <c r="D19" s="8">
        <f t="shared" si="2"/>
        <v>116.10000000000001</v>
      </c>
      <c r="E19" s="7">
        <f t="shared" si="3"/>
        <v>5.6458583433373351</v>
      </c>
    </row>
    <row r="20" spans="1:10" x14ac:dyDescent="0.25">
      <c r="A20" s="4" t="s">
        <v>114</v>
      </c>
      <c r="B20" s="8">
        <f>700</f>
        <v>700</v>
      </c>
      <c r="C20" s="8">
        <f>300</f>
        <v>300</v>
      </c>
      <c r="D20" s="8">
        <f t="shared" si="2"/>
        <v>400</v>
      </c>
      <c r="E20" s="7">
        <f t="shared" si="3"/>
        <v>2.3333333333333335</v>
      </c>
    </row>
    <row r="21" spans="1:10" x14ac:dyDescent="0.25">
      <c r="A21" s="4" t="s">
        <v>113</v>
      </c>
      <c r="B21" s="3"/>
      <c r="C21" s="8">
        <f>375</f>
        <v>375</v>
      </c>
      <c r="D21" s="8">
        <f t="shared" si="2"/>
        <v>-375</v>
      </c>
      <c r="E21" s="7">
        <f t="shared" si="3"/>
        <v>0</v>
      </c>
    </row>
    <row r="22" spans="1:10" x14ac:dyDescent="0.25">
      <c r="A22" s="4" t="s">
        <v>112</v>
      </c>
      <c r="B22" s="3"/>
      <c r="C22" s="8">
        <f>261</f>
        <v>261</v>
      </c>
      <c r="D22" s="8">
        <f t="shared" si="2"/>
        <v>-261</v>
      </c>
      <c r="E22" s="7">
        <f t="shared" si="3"/>
        <v>0</v>
      </c>
    </row>
    <row r="23" spans="1:10" x14ac:dyDescent="0.25">
      <c r="A23" s="4" t="s">
        <v>111</v>
      </c>
      <c r="B23" s="3"/>
      <c r="C23" s="8">
        <f>249.99</f>
        <v>249.99</v>
      </c>
      <c r="D23" s="8">
        <f t="shared" si="2"/>
        <v>-249.99</v>
      </c>
      <c r="E23" s="7">
        <f t="shared" si="3"/>
        <v>0</v>
      </c>
    </row>
    <row r="24" spans="1:10" x14ac:dyDescent="0.25">
      <c r="A24" s="4" t="s">
        <v>110</v>
      </c>
      <c r="B24" s="8">
        <f>9000</f>
        <v>9000</v>
      </c>
      <c r="C24" s="8">
        <f>7375</f>
        <v>7375</v>
      </c>
      <c r="D24" s="8">
        <f t="shared" si="2"/>
        <v>1625</v>
      </c>
      <c r="E24" s="7">
        <f t="shared" si="3"/>
        <v>1.2203389830508475</v>
      </c>
    </row>
    <row r="25" spans="1:10" x14ac:dyDescent="0.25">
      <c r="A25" s="4" t="s">
        <v>109</v>
      </c>
      <c r="B25" s="3"/>
      <c r="C25" s="8">
        <f>24.99</f>
        <v>24.99</v>
      </c>
      <c r="D25" s="8">
        <f t="shared" si="2"/>
        <v>-24.99</v>
      </c>
      <c r="E25" s="7">
        <f t="shared" si="3"/>
        <v>0</v>
      </c>
    </row>
    <row r="26" spans="1:10" x14ac:dyDescent="0.25">
      <c r="A26" s="4" t="s">
        <v>108</v>
      </c>
      <c r="B26" s="8">
        <f>300</f>
        <v>300</v>
      </c>
      <c r="C26" s="8">
        <f>500.01</f>
        <v>500.01</v>
      </c>
      <c r="D26" s="8">
        <f t="shared" si="2"/>
        <v>-200.01</v>
      </c>
      <c r="E26" s="7">
        <f t="shared" si="3"/>
        <v>0.59998800023999521</v>
      </c>
    </row>
    <row r="27" spans="1:10" x14ac:dyDescent="0.25">
      <c r="A27" s="4" t="s">
        <v>107</v>
      </c>
      <c r="B27" s="3"/>
      <c r="C27" s="8">
        <f>125.01</f>
        <v>125.01</v>
      </c>
      <c r="D27" s="8">
        <f t="shared" si="2"/>
        <v>-125.01</v>
      </c>
      <c r="E27" s="7">
        <f t="shared" si="3"/>
        <v>0</v>
      </c>
      <c r="H27" s="83">
        <f>SUM(B18:B27)</f>
        <v>10352.93</v>
      </c>
      <c r="I27" s="83">
        <f>SUM(C18:C27)</f>
        <v>9860.98</v>
      </c>
      <c r="J27" s="80">
        <f>+I27-H27</f>
        <v>-491.95000000000073</v>
      </c>
    </row>
    <row r="28" spans="1:10" x14ac:dyDescent="0.25">
      <c r="A28" s="4" t="s">
        <v>106</v>
      </c>
      <c r="B28" s="3"/>
      <c r="C28" s="3"/>
      <c r="D28" s="8">
        <f t="shared" si="2"/>
        <v>0</v>
      </c>
      <c r="E28" s="7" t="str">
        <f t="shared" si="3"/>
        <v/>
      </c>
    </row>
    <row r="29" spans="1:10" x14ac:dyDescent="0.25">
      <c r="A29" s="4" t="s">
        <v>105</v>
      </c>
      <c r="B29" s="8">
        <f>1502</f>
        <v>1502</v>
      </c>
      <c r="C29" s="8">
        <f>1250.01</f>
        <v>1250.01</v>
      </c>
      <c r="D29" s="8">
        <f t="shared" si="2"/>
        <v>251.99</v>
      </c>
      <c r="E29" s="7">
        <f t="shared" si="3"/>
        <v>1.2015903872769018</v>
      </c>
    </row>
    <row r="30" spans="1:10" x14ac:dyDescent="0.25">
      <c r="A30" s="4" t="s">
        <v>104</v>
      </c>
      <c r="B30" s="8">
        <f>29210.4</f>
        <v>29210.400000000001</v>
      </c>
      <c r="C30" s="8">
        <f>29250</f>
        <v>29250</v>
      </c>
      <c r="D30" s="8">
        <f t="shared" si="2"/>
        <v>-39.599999999998545</v>
      </c>
      <c r="E30" s="7">
        <f t="shared" si="3"/>
        <v>0.99864615384615385</v>
      </c>
    </row>
    <row r="31" spans="1:10" x14ac:dyDescent="0.25">
      <c r="A31" s="4" t="s">
        <v>103</v>
      </c>
      <c r="B31" s="8">
        <f>324.75</f>
        <v>324.75</v>
      </c>
      <c r="C31" s="8">
        <f>324.99</f>
        <v>324.99</v>
      </c>
      <c r="D31" s="8">
        <f t="shared" si="2"/>
        <v>-0.24000000000000909</v>
      </c>
      <c r="E31" s="7">
        <f t="shared" si="3"/>
        <v>0.99926151573894584</v>
      </c>
    </row>
    <row r="32" spans="1:10" x14ac:dyDescent="0.25">
      <c r="A32" s="4" t="s">
        <v>102</v>
      </c>
      <c r="B32" s="8">
        <f>2880.58</f>
        <v>2880.58</v>
      </c>
      <c r="C32" s="8">
        <f>2925</f>
        <v>2925</v>
      </c>
      <c r="D32" s="8">
        <f t="shared" si="2"/>
        <v>-44.420000000000073</v>
      </c>
      <c r="E32" s="7">
        <f t="shared" si="3"/>
        <v>0.98481367521367524</v>
      </c>
      <c r="H32" s="83">
        <f>SUM(B29:B32)</f>
        <v>33917.730000000003</v>
      </c>
      <c r="I32" s="83">
        <f>SUM(C29:C32)</f>
        <v>33750</v>
      </c>
      <c r="J32" s="80">
        <f>+I32-H32</f>
        <v>-167.7300000000032</v>
      </c>
    </row>
    <row r="33" spans="1:10" x14ac:dyDescent="0.25">
      <c r="A33" s="4" t="s">
        <v>101</v>
      </c>
      <c r="B33" s="6">
        <f>((((B28)+(B29))+(B30))+(B31))+(B32)</f>
        <v>33917.730000000003</v>
      </c>
      <c r="C33" s="6">
        <f>((((C28)+(C29))+(C30))+(C31))+(C32)</f>
        <v>33750</v>
      </c>
      <c r="D33" s="6">
        <f t="shared" si="2"/>
        <v>167.7300000000032</v>
      </c>
      <c r="E33" s="5">
        <f t="shared" si="3"/>
        <v>1.004969777777778</v>
      </c>
    </row>
    <row r="34" spans="1:10" x14ac:dyDescent="0.25">
      <c r="A34" s="4" t="s">
        <v>100</v>
      </c>
      <c r="B34" s="3"/>
      <c r="C34" s="3"/>
      <c r="D34" s="8">
        <f t="shared" si="2"/>
        <v>0</v>
      </c>
      <c r="E34" s="7" t="str">
        <f t="shared" si="3"/>
        <v/>
      </c>
    </row>
    <row r="35" spans="1:10" x14ac:dyDescent="0.25">
      <c r="A35" s="4" t="s">
        <v>99</v>
      </c>
      <c r="B35" s="8">
        <f>6600</f>
        <v>6600</v>
      </c>
      <c r="C35" s="8">
        <f>6600</f>
        <v>6600</v>
      </c>
      <c r="D35" s="8">
        <f t="shared" si="2"/>
        <v>0</v>
      </c>
      <c r="E35" s="7">
        <f t="shared" si="3"/>
        <v>1</v>
      </c>
    </row>
    <row r="36" spans="1:10" x14ac:dyDescent="0.25">
      <c r="A36" s="4" t="s">
        <v>98</v>
      </c>
      <c r="B36" s="3"/>
      <c r="C36" s="8">
        <f>0</f>
        <v>0</v>
      </c>
      <c r="D36" s="8">
        <f t="shared" si="2"/>
        <v>0</v>
      </c>
      <c r="E36" s="7" t="str">
        <f t="shared" si="3"/>
        <v/>
      </c>
    </row>
    <row r="37" spans="1:10" x14ac:dyDescent="0.25">
      <c r="A37" s="4" t="s">
        <v>97</v>
      </c>
      <c r="B37" s="3"/>
      <c r="C37" s="8">
        <f>1250.01</f>
        <v>1250.01</v>
      </c>
      <c r="D37" s="8">
        <f t="shared" si="2"/>
        <v>-1250.01</v>
      </c>
      <c r="E37" s="7">
        <f t="shared" si="3"/>
        <v>0</v>
      </c>
    </row>
    <row r="38" spans="1:10" x14ac:dyDescent="0.25">
      <c r="A38" s="4" t="s">
        <v>96</v>
      </c>
      <c r="B38" s="6">
        <f>(((B34)+(B35))+(B36))+(B37)</f>
        <v>6600</v>
      </c>
      <c r="C38" s="6">
        <f>(((C34)+(C35))+(C36))+(C37)</f>
        <v>7850.01</v>
      </c>
      <c r="D38" s="6">
        <f t="shared" si="2"/>
        <v>-1250.0100000000002</v>
      </c>
      <c r="E38" s="5">
        <f t="shared" si="3"/>
        <v>0.84076326017419079</v>
      </c>
      <c r="H38" s="81">
        <f>+B38</f>
        <v>6600</v>
      </c>
      <c r="I38" s="81">
        <f>+C38</f>
        <v>7850.01</v>
      </c>
      <c r="J38" s="82">
        <f>+I38-H38</f>
        <v>1250.0100000000002</v>
      </c>
    </row>
    <row r="39" spans="1:10" x14ac:dyDescent="0.25">
      <c r="A39" s="4" t="s">
        <v>95</v>
      </c>
      <c r="B39" s="3"/>
      <c r="C39" s="3"/>
      <c r="D39" s="8">
        <f t="shared" si="2"/>
        <v>0</v>
      </c>
      <c r="E39" s="7" t="str">
        <f t="shared" si="3"/>
        <v/>
      </c>
    </row>
    <row r="40" spans="1:10" x14ac:dyDescent="0.25">
      <c r="A40" s="4" t="s">
        <v>94</v>
      </c>
      <c r="B40" s="8">
        <f>0</f>
        <v>0</v>
      </c>
      <c r="C40" s="3"/>
      <c r="D40" s="8">
        <f t="shared" si="2"/>
        <v>0</v>
      </c>
      <c r="E40" s="7" t="str">
        <f t="shared" si="3"/>
        <v/>
      </c>
    </row>
    <row r="41" spans="1:10" x14ac:dyDescent="0.25">
      <c r="A41" s="4" t="s">
        <v>93</v>
      </c>
      <c r="B41" s="8">
        <f>1036.47</f>
        <v>1036.47</v>
      </c>
      <c r="C41" s="8">
        <f>900</f>
        <v>900</v>
      </c>
      <c r="D41" s="8">
        <f t="shared" si="2"/>
        <v>136.47000000000003</v>
      </c>
      <c r="E41" s="7">
        <f t="shared" si="3"/>
        <v>1.1516333333333333</v>
      </c>
    </row>
    <row r="42" spans="1:10" x14ac:dyDescent="0.25">
      <c r="A42" s="4" t="s">
        <v>92</v>
      </c>
      <c r="B42" s="6">
        <f>((B39)+(B40))+(B41)</f>
        <v>1036.47</v>
      </c>
      <c r="C42" s="6">
        <f>((C39)+(C40))+(C41)</f>
        <v>900</v>
      </c>
      <c r="D42" s="6">
        <f t="shared" si="2"/>
        <v>136.47000000000003</v>
      </c>
      <c r="E42" s="5">
        <f t="shared" si="3"/>
        <v>1.1516333333333333</v>
      </c>
      <c r="H42" s="81">
        <f>+B42</f>
        <v>1036.47</v>
      </c>
      <c r="I42" s="81">
        <f>+C42</f>
        <v>900</v>
      </c>
      <c r="J42" s="82">
        <f>+I42-H42</f>
        <v>-136.47000000000003</v>
      </c>
    </row>
    <row r="43" spans="1:10" x14ac:dyDescent="0.25">
      <c r="A43" s="4" t="s">
        <v>91</v>
      </c>
      <c r="B43" s="3"/>
      <c r="C43" s="3"/>
      <c r="D43" s="8">
        <f t="shared" si="2"/>
        <v>0</v>
      </c>
      <c r="E43" s="7" t="str">
        <f t="shared" si="3"/>
        <v/>
      </c>
    </row>
    <row r="44" spans="1:10" x14ac:dyDescent="0.25">
      <c r="A44" s="4" t="s">
        <v>90</v>
      </c>
      <c r="B44" s="3"/>
      <c r="C44" s="8">
        <f>200</f>
        <v>200</v>
      </c>
      <c r="D44" s="8">
        <f t="shared" si="2"/>
        <v>-200</v>
      </c>
      <c r="E44" s="7">
        <f t="shared" si="3"/>
        <v>0</v>
      </c>
    </row>
    <row r="45" spans="1:10" x14ac:dyDescent="0.25">
      <c r="A45" s="4" t="s">
        <v>89</v>
      </c>
      <c r="B45" s="8">
        <f>44.03</f>
        <v>44.03</v>
      </c>
      <c r="C45" s="8">
        <f>300</f>
        <v>300</v>
      </c>
      <c r="D45" s="8">
        <f t="shared" si="2"/>
        <v>-255.97</v>
      </c>
      <c r="E45" s="7">
        <f t="shared" si="3"/>
        <v>0.14676666666666668</v>
      </c>
    </row>
    <row r="46" spans="1:10" x14ac:dyDescent="0.25">
      <c r="A46" s="4" t="s">
        <v>88</v>
      </c>
      <c r="B46" s="8">
        <f>62.91</f>
        <v>62.91</v>
      </c>
      <c r="C46" s="8">
        <f>750</f>
        <v>750</v>
      </c>
      <c r="D46" s="8">
        <f t="shared" si="2"/>
        <v>-687.09</v>
      </c>
      <c r="E46" s="7">
        <f t="shared" si="3"/>
        <v>8.3879999999999996E-2</v>
      </c>
    </row>
    <row r="47" spans="1:10" x14ac:dyDescent="0.25">
      <c r="A47" s="4" t="s">
        <v>87</v>
      </c>
      <c r="B47" s="8">
        <f>1220.61</f>
        <v>1220.6099999999999</v>
      </c>
      <c r="C47" s="8">
        <f>624.99</f>
        <v>624.99</v>
      </c>
      <c r="D47" s="8">
        <f t="shared" si="2"/>
        <v>595.61999999999989</v>
      </c>
      <c r="E47" s="7">
        <f t="shared" si="3"/>
        <v>1.9530072481159697</v>
      </c>
    </row>
    <row r="48" spans="1:10" x14ac:dyDescent="0.25">
      <c r="A48" s="4" t="s">
        <v>86</v>
      </c>
      <c r="B48" s="3"/>
      <c r="C48" s="8">
        <f>100</f>
        <v>100</v>
      </c>
      <c r="D48" s="8">
        <f t="shared" si="2"/>
        <v>-100</v>
      </c>
      <c r="E48" s="7">
        <f t="shared" si="3"/>
        <v>0</v>
      </c>
    </row>
    <row r="49" spans="1:11" x14ac:dyDescent="0.25">
      <c r="A49" s="4" t="s">
        <v>85</v>
      </c>
      <c r="B49" s="8">
        <f>436.78</f>
        <v>436.78</v>
      </c>
      <c r="C49" s="8">
        <f>249.99</f>
        <v>249.99</v>
      </c>
      <c r="D49" s="8">
        <f t="shared" si="2"/>
        <v>186.78999999999996</v>
      </c>
      <c r="E49" s="7">
        <f t="shared" si="3"/>
        <v>1.7471898875955036</v>
      </c>
    </row>
    <row r="50" spans="1:11" x14ac:dyDescent="0.25">
      <c r="A50" s="4" t="s">
        <v>84</v>
      </c>
      <c r="B50" s="6">
        <f>((((((B43)+(B44))+(B45))+(B46))+(B47))+(B48))+(B49)</f>
        <v>1764.33</v>
      </c>
      <c r="C50" s="6">
        <f>((((((C43)+(C44))+(C45))+(C46))+(C47))+(C48))+(C49)</f>
        <v>2224.98</v>
      </c>
      <c r="D50" s="6">
        <f t="shared" si="2"/>
        <v>-460.65000000000009</v>
      </c>
      <c r="E50" s="5">
        <f t="shared" si="3"/>
        <v>0.79296443114095405</v>
      </c>
      <c r="H50" s="81">
        <f>+B50</f>
        <v>1764.33</v>
      </c>
      <c r="I50" s="81">
        <f>+C50</f>
        <v>2224.98</v>
      </c>
      <c r="J50" s="82">
        <f>+I50-H50</f>
        <v>460.65000000000009</v>
      </c>
    </row>
    <row r="51" spans="1:11" x14ac:dyDescent="0.25">
      <c r="A51" s="4" t="s">
        <v>83</v>
      </c>
      <c r="B51" s="3"/>
      <c r="C51" s="3"/>
      <c r="D51" s="8">
        <f t="shared" si="2"/>
        <v>0</v>
      </c>
      <c r="E51" s="7" t="str">
        <f t="shared" si="3"/>
        <v/>
      </c>
    </row>
    <row r="52" spans="1:11" x14ac:dyDescent="0.25">
      <c r="A52" s="4" t="s">
        <v>82</v>
      </c>
      <c r="B52" s="8">
        <f>630.75</f>
        <v>630.75</v>
      </c>
      <c r="C52" s="8">
        <f>500.01</f>
        <v>500.01</v>
      </c>
      <c r="D52" s="8">
        <f t="shared" si="2"/>
        <v>130.74</v>
      </c>
      <c r="E52" s="7">
        <f t="shared" si="3"/>
        <v>1.2614747705045899</v>
      </c>
    </row>
    <row r="53" spans="1:11" x14ac:dyDescent="0.25">
      <c r="A53" s="4" t="s">
        <v>81</v>
      </c>
      <c r="B53" s="3"/>
      <c r="C53" s="8">
        <f>125.01</f>
        <v>125.01</v>
      </c>
      <c r="D53" s="8">
        <f t="shared" si="2"/>
        <v>-125.01</v>
      </c>
      <c r="E53" s="7">
        <f t="shared" si="3"/>
        <v>0</v>
      </c>
    </row>
    <row r="54" spans="1:11" x14ac:dyDescent="0.25">
      <c r="A54" s="4" t="s">
        <v>80</v>
      </c>
      <c r="B54" s="8">
        <f>13.61</f>
        <v>13.61</v>
      </c>
      <c r="C54" s="3"/>
      <c r="D54" s="8">
        <f t="shared" si="2"/>
        <v>13.61</v>
      </c>
      <c r="E54" s="7" t="str">
        <f t="shared" si="3"/>
        <v/>
      </c>
    </row>
    <row r="55" spans="1:11" x14ac:dyDescent="0.25">
      <c r="A55" s="4" t="s">
        <v>79</v>
      </c>
      <c r="B55" s="6">
        <f>(((B51)+(B52))+(B53))+(B54)</f>
        <v>644.36</v>
      </c>
      <c r="C55" s="6">
        <f>(((C51)+(C52))+(C53))+(C54)</f>
        <v>625.02</v>
      </c>
      <c r="D55" s="6">
        <f t="shared" si="2"/>
        <v>19.340000000000032</v>
      </c>
      <c r="E55" s="5">
        <f t="shared" si="3"/>
        <v>1.0309430098236856</v>
      </c>
      <c r="H55" s="81">
        <f>+B55</f>
        <v>644.36</v>
      </c>
      <c r="I55" s="81">
        <f>+C55</f>
        <v>625.02</v>
      </c>
      <c r="J55" s="82">
        <f>+I55-H55</f>
        <v>-19.340000000000032</v>
      </c>
      <c r="K55" s="92">
        <f>SUM(J26:J55)</f>
        <v>895.16999999999632</v>
      </c>
    </row>
    <row r="56" spans="1:11" x14ac:dyDescent="0.25">
      <c r="A56" s="4" t="s">
        <v>78</v>
      </c>
      <c r="B56" s="6">
        <f>((((((((((((((B18)+(B19))+(B20))+(B21))+(B22))+(B23))+(B24))+(B25))+(B26))+(B27))+(B33))+(B38))+(B42))+(B50))+(B55)</f>
        <v>54315.820000000007</v>
      </c>
      <c r="C56" s="6">
        <f>((((((((((((((C18)+(C19))+(C20))+(C21))+(C22))+(C23))+(C24))+(C25))+(C26))+(C27))+(C33))+(C38))+(C42))+(C50))+(C55)</f>
        <v>55210.99</v>
      </c>
      <c r="D56" s="6">
        <f t="shared" si="2"/>
        <v>-895.16999999999098</v>
      </c>
      <c r="E56" s="5">
        <f t="shared" si="3"/>
        <v>0.98378638021162113</v>
      </c>
      <c r="H56" s="87"/>
      <c r="I56">
        <v>0</v>
      </c>
      <c r="J56" s="80">
        <f>+I56-H56</f>
        <v>0</v>
      </c>
    </row>
    <row r="57" spans="1:11" x14ac:dyDescent="0.25">
      <c r="A57" s="93" t="s">
        <v>77</v>
      </c>
      <c r="B57" s="94">
        <f>(B16)-(B56)</f>
        <v>-3620.8400000000038</v>
      </c>
      <c r="C57" s="94">
        <f>(C16)-(C56)</f>
        <v>-2210.989999999998</v>
      </c>
      <c r="D57" s="94">
        <f t="shared" si="2"/>
        <v>-1409.8500000000058</v>
      </c>
      <c r="E57" s="5">
        <f t="shared" si="3"/>
        <v>1.6376555298757602</v>
      </c>
      <c r="H57" s="84">
        <f>SUM(H27:H56)</f>
        <v>54315.820000000007</v>
      </c>
      <c r="I57" s="84">
        <f>SUM(I27:I56)</f>
        <v>55210.99</v>
      </c>
      <c r="J57" s="85">
        <f>+I57-H57</f>
        <v>895.16999999999098</v>
      </c>
      <c r="K57" s="80"/>
    </row>
    <row r="58" spans="1:11" x14ac:dyDescent="0.25">
      <c r="A58" s="4" t="s">
        <v>76</v>
      </c>
      <c r="B58" s="3"/>
      <c r="C58" s="3"/>
      <c r="D58" s="3"/>
      <c r="E58" s="3"/>
      <c r="H58" s="92">
        <f>+H16-H57</f>
        <v>-3620.8400000000038</v>
      </c>
      <c r="I58" s="92">
        <f>+I16-I57</f>
        <v>-2210.989999999998</v>
      </c>
      <c r="J58" s="92">
        <f>+H58-I58</f>
        <v>-1409.8500000000058</v>
      </c>
      <c r="K58" s="82"/>
    </row>
    <row r="59" spans="1:11" x14ac:dyDescent="0.25">
      <c r="A59" s="4" t="s">
        <v>75</v>
      </c>
      <c r="B59" s="8">
        <f>139955.92</f>
        <v>139955.92000000001</v>
      </c>
      <c r="C59" s="3"/>
      <c r="D59" s="8">
        <f t="shared" ref="D59:D66" si="4">(B59)-(C59)</f>
        <v>139955.92000000001</v>
      </c>
      <c r="E59" s="7" t="str">
        <f t="shared" ref="E59:E66" si="5">IF(C59=0,"",(B59)/(C59))</f>
        <v/>
      </c>
    </row>
    <row r="60" spans="1:11" x14ac:dyDescent="0.25">
      <c r="A60" s="4" t="s">
        <v>74</v>
      </c>
      <c r="B60" s="3"/>
      <c r="C60" s="3"/>
      <c r="D60" s="8">
        <f t="shared" si="4"/>
        <v>0</v>
      </c>
      <c r="E60" s="7" t="str">
        <f t="shared" si="5"/>
        <v/>
      </c>
    </row>
    <row r="61" spans="1:11" x14ac:dyDescent="0.25">
      <c r="A61" s="4" t="s">
        <v>73</v>
      </c>
      <c r="B61" s="8">
        <f>36984.99</f>
        <v>36984.99</v>
      </c>
      <c r="C61" s="3"/>
      <c r="D61" s="8">
        <f t="shared" si="4"/>
        <v>36984.99</v>
      </c>
      <c r="E61" s="7" t="str">
        <f t="shared" si="5"/>
        <v/>
      </c>
    </row>
    <row r="62" spans="1:11" x14ac:dyDescent="0.25">
      <c r="A62" s="4" t="s">
        <v>72</v>
      </c>
      <c r="B62" s="8">
        <f>-155313.08</f>
        <v>-155313.07999999999</v>
      </c>
      <c r="C62" s="3"/>
      <c r="D62" s="8">
        <f t="shared" si="4"/>
        <v>-155313.07999999999</v>
      </c>
      <c r="E62" s="7" t="str">
        <f t="shared" si="5"/>
        <v/>
      </c>
    </row>
    <row r="63" spans="1:11" x14ac:dyDescent="0.25">
      <c r="A63" s="4" t="s">
        <v>71</v>
      </c>
      <c r="B63" s="8">
        <f>-30788.52</f>
        <v>-30788.52</v>
      </c>
      <c r="C63" s="3"/>
      <c r="D63" s="8">
        <f t="shared" si="4"/>
        <v>-30788.52</v>
      </c>
      <c r="E63" s="7" t="str">
        <f t="shared" si="5"/>
        <v/>
      </c>
    </row>
    <row r="64" spans="1:11" x14ac:dyDescent="0.25">
      <c r="A64" s="4" t="s">
        <v>70</v>
      </c>
      <c r="B64" s="6">
        <f>(((B60)+(B61))+(B62))+(B63)</f>
        <v>-149116.60999999999</v>
      </c>
      <c r="C64" s="6">
        <f>(((C60)+(C61))+(C62))+(C63)</f>
        <v>0</v>
      </c>
      <c r="D64" s="6">
        <f t="shared" si="4"/>
        <v>-149116.60999999999</v>
      </c>
      <c r="E64" s="5" t="str">
        <f t="shared" si="5"/>
        <v/>
      </c>
    </row>
    <row r="65" spans="1:7" x14ac:dyDescent="0.25">
      <c r="A65" s="4" t="s">
        <v>69</v>
      </c>
      <c r="B65" s="3"/>
      <c r="C65" s="8">
        <f>27625</f>
        <v>27625</v>
      </c>
      <c r="D65" s="8">
        <f t="shared" si="4"/>
        <v>-27625</v>
      </c>
      <c r="E65" s="7">
        <f t="shared" si="5"/>
        <v>0</v>
      </c>
    </row>
    <row r="66" spans="1:7" x14ac:dyDescent="0.25">
      <c r="A66" s="4" t="s">
        <v>68</v>
      </c>
      <c r="B66" s="6">
        <f>((B59)+(B64))+(B65)</f>
        <v>-9160.6899999999732</v>
      </c>
      <c r="C66" s="6">
        <f>((C59)+(C64))+(C65)</f>
        <v>27625</v>
      </c>
      <c r="D66" s="6">
        <f t="shared" si="4"/>
        <v>-36785.689999999973</v>
      </c>
      <c r="E66" s="5">
        <f t="shared" si="5"/>
        <v>-0.33160868778280445</v>
      </c>
    </row>
    <row r="67" spans="1:7" x14ac:dyDescent="0.25">
      <c r="A67" s="4" t="s">
        <v>67</v>
      </c>
      <c r="B67" s="3"/>
      <c r="C67" s="3"/>
      <c r="D67" s="3"/>
      <c r="E67" s="3"/>
    </row>
    <row r="68" spans="1:7" x14ac:dyDescent="0.25">
      <c r="A68" s="4" t="s">
        <v>66</v>
      </c>
      <c r="B68" s="8">
        <f>625078.27</f>
        <v>625078.27</v>
      </c>
      <c r="C68" s="3"/>
      <c r="D68" s="8">
        <f>(B68)-(C68)</f>
        <v>625078.27</v>
      </c>
      <c r="E68" s="7" t="str">
        <f>IF(C68=0,"",(B68)/(C68))</f>
        <v/>
      </c>
    </row>
    <row r="69" spans="1:7" x14ac:dyDescent="0.25">
      <c r="A69" s="4" t="s">
        <v>65</v>
      </c>
      <c r="B69" s="6">
        <f>B68</f>
        <v>625078.27</v>
      </c>
      <c r="C69" s="6">
        <f>C68</f>
        <v>0</v>
      </c>
      <c r="D69" s="6">
        <f>(B69)-(C69)</f>
        <v>625078.27</v>
      </c>
      <c r="E69" s="5" t="str">
        <f>IF(C69=0,"",(B69)/(C69))</f>
        <v/>
      </c>
      <c r="F69">
        <v>102188.35</v>
      </c>
      <c r="G69" s="80">
        <f>+F69-D69</f>
        <v>-522889.92000000004</v>
      </c>
    </row>
    <row r="70" spans="1:7" x14ac:dyDescent="0.25">
      <c r="A70" s="4" t="s">
        <v>64</v>
      </c>
      <c r="B70" s="6">
        <f>(B66)-(B69)</f>
        <v>-634238.96</v>
      </c>
      <c r="C70" s="6">
        <f>(C66)-(C69)</f>
        <v>27625</v>
      </c>
      <c r="D70" s="6">
        <f>(B70)-(C70)</f>
        <v>-661863.96</v>
      </c>
      <c r="E70" s="5">
        <f>IF(C70=0,"",(B70)/(C70))</f>
        <v>-22.958876380090498</v>
      </c>
    </row>
    <row r="71" spans="1:7" x14ac:dyDescent="0.25">
      <c r="A71" s="4" t="s">
        <v>63</v>
      </c>
      <c r="B71" s="6">
        <f>(B57)+(B70)</f>
        <v>-637859.79999999993</v>
      </c>
      <c r="C71" s="6">
        <f>(C57)+(C70)</f>
        <v>25414.010000000002</v>
      </c>
      <c r="D71" s="6">
        <f>(B71)-(C71)</f>
        <v>-663273.80999999994</v>
      </c>
      <c r="E71" s="5">
        <f>IF(C71=0,"",(B71)/(C71))</f>
        <v>-25.098746714902525</v>
      </c>
    </row>
    <row r="72" spans="1:7" x14ac:dyDescent="0.25">
      <c r="A72" s="4"/>
      <c r="B72" s="6"/>
      <c r="C72" s="6"/>
      <c r="D72" s="6"/>
      <c r="E72" s="5"/>
    </row>
    <row r="73" spans="1:7" x14ac:dyDescent="0.25">
      <c r="A73" s="4"/>
      <c r="B73" s="3"/>
      <c r="C73" s="3"/>
      <c r="D73" s="3"/>
      <c r="E73" s="3"/>
    </row>
    <row r="74" spans="1:7" x14ac:dyDescent="0.25">
      <c r="A74" s="103" t="s">
        <v>61</v>
      </c>
      <c r="B74" s="103"/>
      <c r="C74" s="103"/>
      <c r="D74" s="103"/>
      <c r="E74" s="103"/>
    </row>
    <row r="76" spans="1:7" x14ac:dyDescent="0.25">
      <c r="A76" s="99" t="s">
        <v>62</v>
      </c>
      <c r="B76" s="100"/>
      <c r="C76" s="100"/>
      <c r="D76" s="100"/>
      <c r="E76" s="100"/>
    </row>
  </sheetData>
  <mergeCells count="6">
    <mergeCell ref="B5:E5"/>
    <mergeCell ref="A76:E76"/>
    <mergeCell ref="A1:E1"/>
    <mergeCell ref="A2:E2"/>
    <mergeCell ref="A3:E3"/>
    <mergeCell ref="A74:E7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568F0-7622-4EE2-AEAE-ED113C6060A4}">
  <dimension ref="A1:G11"/>
  <sheetViews>
    <sheetView workbookViewId="0">
      <selection activeCell="E17" sqref="E17"/>
    </sheetView>
    <sheetView workbookViewId="1">
      <selection activeCell="F6" sqref="F6"/>
    </sheetView>
  </sheetViews>
  <sheetFormatPr defaultRowHeight="15" x14ac:dyDescent="0.25"/>
  <cols>
    <col min="1" max="1" width="55.85546875" style="88" customWidth="1"/>
    <col min="2" max="7" width="11.140625" style="88" customWidth="1"/>
    <col min="8" max="16384" width="9.140625" style="88"/>
  </cols>
  <sheetData>
    <row r="1" spans="1:7" ht="18" x14ac:dyDescent="0.25">
      <c r="A1" s="101" t="s">
        <v>59</v>
      </c>
      <c r="B1" s="100"/>
      <c r="C1" s="100"/>
      <c r="D1" s="100"/>
      <c r="E1" s="100"/>
      <c r="F1" s="100"/>
      <c r="G1" s="100"/>
    </row>
    <row r="2" spans="1:7" ht="18" x14ac:dyDescent="0.25">
      <c r="A2" s="101" t="s">
        <v>140</v>
      </c>
      <c r="B2" s="100"/>
      <c r="C2" s="100"/>
      <c r="D2" s="100"/>
      <c r="E2" s="100"/>
      <c r="F2" s="100"/>
      <c r="G2" s="100"/>
    </row>
    <row r="3" spans="1:7" x14ac:dyDescent="0.25">
      <c r="A3" s="102" t="s">
        <v>202</v>
      </c>
      <c r="B3" s="100"/>
      <c r="C3" s="100"/>
      <c r="D3" s="100"/>
      <c r="E3" s="100"/>
      <c r="F3" s="100"/>
      <c r="G3" s="100"/>
    </row>
    <row r="5" spans="1:7" x14ac:dyDescent="0.25">
      <c r="A5" s="1"/>
      <c r="B5" s="89" t="s">
        <v>139</v>
      </c>
      <c r="C5" s="89" t="s">
        <v>138</v>
      </c>
      <c r="D5" s="89" t="s">
        <v>137</v>
      </c>
      <c r="E5" s="89" t="s">
        <v>136</v>
      </c>
      <c r="F5" s="89" t="s">
        <v>135</v>
      </c>
      <c r="G5" s="89" t="s">
        <v>0</v>
      </c>
    </row>
    <row r="6" spans="1:7" ht="23.25" x14ac:dyDescent="0.25">
      <c r="A6" s="4" t="s">
        <v>134</v>
      </c>
      <c r="B6" s="3"/>
      <c r="C6" s="3"/>
      <c r="D6" s="3"/>
      <c r="E6" s="3"/>
      <c r="F6" s="8">
        <f>5000</f>
        <v>5000</v>
      </c>
      <c r="G6" s="8">
        <f>((((B6)+(C6))+(D6))+(E6))+(F6)</f>
        <v>5000</v>
      </c>
    </row>
    <row r="7" spans="1:7" x14ac:dyDescent="0.25">
      <c r="A7" s="4" t="s">
        <v>133</v>
      </c>
      <c r="B7" s="6">
        <f>B6</f>
        <v>0</v>
      </c>
      <c r="C7" s="6">
        <f>C6</f>
        <v>0</v>
      </c>
      <c r="D7" s="6">
        <f>D6</f>
        <v>0</v>
      </c>
      <c r="E7" s="6">
        <f>E6</f>
        <v>0</v>
      </c>
      <c r="F7" s="6">
        <f>F6</f>
        <v>5000</v>
      </c>
      <c r="G7" s="6">
        <f>((((B7)+(C7))+(D7))+(E7))+(F7)</f>
        <v>5000</v>
      </c>
    </row>
    <row r="8" spans="1:7" x14ac:dyDescent="0.25">
      <c r="A8" s="4"/>
      <c r="B8" s="3"/>
      <c r="C8" s="3"/>
      <c r="D8" s="3"/>
      <c r="E8" s="3"/>
      <c r="F8" s="3"/>
      <c r="G8" s="3"/>
    </row>
    <row r="11" spans="1:7" x14ac:dyDescent="0.25">
      <c r="A11" s="99" t="s">
        <v>204</v>
      </c>
      <c r="B11" s="100"/>
      <c r="C11" s="100"/>
      <c r="D11" s="100"/>
      <c r="E11" s="100"/>
      <c r="F11" s="100"/>
      <c r="G11" s="100"/>
    </row>
  </sheetData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5"/>
  <sheetViews>
    <sheetView workbookViewId="0">
      <selection sqref="A1:G1"/>
    </sheetView>
    <sheetView workbookViewId="1">
      <selection activeCell="C11" sqref="C11"/>
    </sheetView>
  </sheetViews>
  <sheetFormatPr defaultRowHeight="15" x14ac:dyDescent="0.25"/>
  <cols>
    <col min="1" max="1" width="31.85546875" style="88" customWidth="1"/>
    <col min="2" max="7" width="11.140625" style="88" customWidth="1"/>
    <col min="8" max="16384" width="9.140625" style="88"/>
  </cols>
  <sheetData>
    <row r="1" spans="1:7" ht="18" x14ac:dyDescent="0.25">
      <c r="A1" s="101" t="s">
        <v>59</v>
      </c>
      <c r="B1" s="100"/>
      <c r="C1" s="100"/>
      <c r="D1" s="100"/>
      <c r="E1" s="100"/>
      <c r="F1" s="100"/>
      <c r="G1" s="100"/>
    </row>
    <row r="2" spans="1:7" ht="18" x14ac:dyDescent="0.25">
      <c r="A2" s="101" t="s">
        <v>146</v>
      </c>
      <c r="B2" s="100"/>
      <c r="C2" s="100"/>
      <c r="D2" s="100"/>
      <c r="E2" s="100"/>
      <c r="F2" s="100"/>
      <c r="G2" s="100"/>
    </row>
    <row r="3" spans="1:7" x14ac:dyDescent="0.25">
      <c r="A3" s="102" t="s">
        <v>202</v>
      </c>
      <c r="B3" s="100"/>
      <c r="C3" s="100"/>
      <c r="D3" s="100"/>
      <c r="E3" s="100"/>
      <c r="F3" s="100"/>
      <c r="G3" s="100"/>
    </row>
    <row r="5" spans="1:7" x14ac:dyDescent="0.25">
      <c r="A5" s="1"/>
      <c r="B5" s="89" t="s">
        <v>139</v>
      </c>
      <c r="C5" s="89" t="s">
        <v>138</v>
      </c>
      <c r="D5" s="89" t="s">
        <v>137</v>
      </c>
      <c r="E5" s="89" t="s">
        <v>136</v>
      </c>
      <c r="F5" s="89" t="s">
        <v>135</v>
      </c>
      <c r="G5" s="89" t="s">
        <v>0</v>
      </c>
    </row>
    <row r="6" spans="1:7" x14ac:dyDescent="0.25">
      <c r="A6" s="4" t="s">
        <v>145</v>
      </c>
      <c r="B6" s="3"/>
      <c r="C6" s="8">
        <f>198.85</f>
        <v>198.85</v>
      </c>
      <c r="D6" s="3"/>
      <c r="E6" s="8">
        <f>12.78</f>
        <v>12.78</v>
      </c>
      <c r="F6" s="3"/>
      <c r="G6" s="8">
        <f t="shared" ref="G6:G11" si="0">((((B6)+(C6))+(D6))+(E6))+(F6)</f>
        <v>211.63</v>
      </c>
    </row>
    <row r="7" spans="1:7" x14ac:dyDescent="0.25">
      <c r="A7" s="4" t="s">
        <v>144</v>
      </c>
      <c r="B7" s="8">
        <f>100</f>
        <v>100</v>
      </c>
      <c r="C7" s="8">
        <f>100</f>
        <v>100</v>
      </c>
      <c r="D7" s="3"/>
      <c r="E7" s="3"/>
      <c r="F7" s="3"/>
      <c r="G7" s="8">
        <f t="shared" si="0"/>
        <v>200</v>
      </c>
    </row>
    <row r="8" spans="1:7" x14ac:dyDescent="0.25">
      <c r="A8" s="4" t="s">
        <v>143</v>
      </c>
      <c r="B8" s="8">
        <f>316.25</f>
        <v>316.25</v>
      </c>
      <c r="C8" s="8">
        <f>150</f>
        <v>150</v>
      </c>
      <c r="D8" s="3"/>
      <c r="E8" s="3"/>
      <c r="F8" s="3"/>
      <c r="G8" s="8">
        <f t="shared" si="0"/>
        <v>466.25</v>
      </c>
    </row>
    <row r="9" spans="1:7" x14ac:dyDescent="0.25">
      <c r="A9" s="4" t="s">
        <v>142</v>
      </c>
      <c r="B9" s="8">
        <f>2200</f>
        <v>2200</v>
      </c>
      <c r="C9" s="3"/>
      <c r="D9" s="3"/>
      <c r="E9" s="3"/>
      <c r="F9" s="3"/>
      <c r="G9" s="8">
        <f t="shared" si="0"/>
        <v>2200</v>
      </c>
    </row>
    <row r="10" spans="1:7" x14ac:dyDescent="0.25">
      <c r="A10" s="4" t="s">
        <v>141</v>
      </c>
      <c r="B10" s="3"/>
      <c r="C10" s="3"/>
      <c r="D10" s="8">
        <f>-100</f>
        <v>-100</v>
      </c>
      <c r="E10" s="3"/>
      <c r="F10" s="3"/>
      <c r="G10" s="8">
        <f t="shared" si="0"/>
        <v>-100</v>
      </c>
    </row>
    <row r="11" spans="1:7" x14ac:dyDescent="0.25">
      <c r="A11" s="4" t="s">
        <v>133</v>
      </c>
      <c r="B11" s="6">
        <f>((((B6)+(B7))+(B8))+(B9))+(B10)</f>
        <v>2616.25</v>
      </c>
      <c r="C11" s="6">
        <f>((((C6)+(C7))+(C8))+(C9))+(C10)</f>
        <v>448.85</v>
      </c>
      <c r="D11" s="6">
        <f>((((D6)+(D7))+(D8))+(D9))+(D10)</f>
        <v>-100</v>
      </c>
      <c r="E11" s="6">
        <f>((((E6)+(E7))+(E8))+(E9))+(E10)</f>
        <v>12.78</v>
      </c>
      <c r="F11" s="6">
        <f>((((F6)+(F7))+(F8))+(F9))+(F10)</f>
        <v>0</v>
      </c>
      <c r="G11" s="6">
        <f t="shared" si="0"/>
        <v>2977.88</v>
      </c>
    </row>
    <row r="12" spans="1:7" x14ac:dyDescent="0.25">
      <c r="A12" s="4"/>
      <c r="B12" s="3"/>
      <c r="C12" s="3"/>
      <c r="D12" s="3"/>
      <c r="E12" s="3"/>
      <c r="F12" s="3"/>
      <c r="G12" s="3"/>
    </row>
    <row r="15" spans="1:7" x14ac:dyDescent="0.25">
      <c r="A15" s="99" t="s">
        <v>205</v>
      </c>
      <c r="B15" s="100"/>
      <c r="C15" s="100"/>
      <c r="D15" s="100"/>
      <c r="E15" s="100"/>
      <c r="F15" s="100"/>
      <c r="G15" s="100"/>
    </row>
  </sheetData>
  <mergeCells count="4">
    <mergeCell ref="A1:G1"/>
    <mergeCell ref="A2:G2"/>
    <mergeCell ref="A3:G3"/>
    <mergeCell ref="A15:G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4E36C724E56041AD41E340EF8BC4A6" ma:contentTypeVersion="16" ma:contentTypeDescription="Create a new document." ma:contentTypeScope="" ma:versionID="dc34472e50683122fb1dcccb4fec0486">
  <xsd:schema xmlns:xsd="http://www.w3.org/2001/XMLSchema" xmlns:xs="http://www.w3.org/2001/XMLSchema" xmlns:p="http://schemas.microsoft.com/office/2006/metadata/properties" xmlns:ns2="8d9db891-9a93-4d8f-b316-53a9f4a8df72" xmlns:ns3="f93fbb25-3d89-4e16-a786-6d19e436c58f" targetNamespace="http://schemas.microsoft.com/office/2006/metadata/properties" ma:root="true" ma:fieldsID="bae6a76b2dbf067eb4f5c76b9141abef" ns2:_="" ns3:_="">
    <xsd:import namespace="8d9db891-9a93-4d8f-b316-53a9f4a8df72"/>
    <xsd:import namespace="f93fbb25-3d89-4e16-a786-6d19e436c5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db891-9a93-4d8f-b316-53a9f4a8df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1c0c85a-fd33-4616-9e22-b9090b4821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fbb25-3d89-4e16-a786-6d19e436c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a4d8db-7a85-4fc9-b2c2-d70464f7a73e}" ma:internalName="TaxCatchAll" ma:showField="CatchAllData" ma:web="f93fbb25-3d89-4e16-a786-6d19e436c5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66D103-BFA2-4F7B-8C01-47CA3244D9E2}"/>
</file>

<file path=customXml/itemProps2.xml><?xml version="1.0" encoding="utf-8"?>
<ds:datastoreItem xmlns:ds="http://schemas.openxmlformats.org/officeDocument/2006/customXml" ds:itemID="{8E09CFE7-3992-4C5A-A7AC-D6C092EFA7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 Table</vt:lpstr>
      <vt:lpstr>Funds and Assets</vt:lpstr>
      <vt:lpstr>Statement of Financial Position</vt:lpstr>
      <vt:lpstr>Budget vs. Actuals</vt:lpstr>
      <vt:lpstr>A R Aging Summary</vt:lpstr>
      <vt:lpstr>A P Aging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dcterms:created xsi:type="dcterms:W3CDTF">2021-09-20T13:27:09Z</dcterms:created>
  <dcterms:modified xsi:type="dcterms:W3CDTF">2021-10-26T00:00:27Z</dcterms:modified>
</cp:coreProperties>
</file>