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kalstein\Jewish Community Foundation\Admin\Fiscal 2023\"/>
    </mc:Choice>
  </mc:AlternateContent>
  <xr:revisionPtr revIDLastSave="0" documentId="8_{3E5C0763-58E0-4039-8B26-E9379CD351C9}" xr6:coauthVersionLast="47" xr6:coauthVersionMax="47" xr10:uidLastSave="{00000000-0000-0000-0000-000000000000}"/>
  <bookViews>
    <workbookView xWindow="20370" yWindow="-2130" windowWidth="21840" windowHeight="13140" xr2:uid="{00000000-000D-0000-FFFF-FFFF00000000}"/>
  </bookViews>
  <sheets>
    <sheet name="Budget vs. Actual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P74" i="1" l="1"/>
  <c r="AH74" i="1"/>
  <c r="AW73" i="1"/>
  <c r="AV73" i="1"/>
  <c r="AU73" i="1"/>
  <c r="AT73" i="1"/>
  <c r="AS73" i="1"/>
  <c r="AR73" i="1"/>
  <c r="AQ73" i="1"/>
  <c r="AP73" i="1"/>
  <c r="AO73" i="1"/>
  <c r="AN73" i="1"/>
  <c r="AM73" i="1"/>
  <c r="AL73" i="1"/>
  <c r="AK73" i="1"/>
  <c r="AJ73" i="1"/>
  <c r="AI73" i="1"/>
  <c r="AH73" i="1"/>
  <c r="AG73" i="1"/>
  <c r="AF73" i="1"/>
  <c r="AE73" i="1"/>
  <c r="AD73" i="1"/>
  <c r="AC73" i="1"/>
  <c r="AA73" i="1"/>
  <c r="Y73" i="1"/>
  <c r="W73" i="1"/>
  <c r="U73" i="1"/>
  <c r="S73" i="1"/>
  <c r="Q73" i="1"/>
  <c r="O73" i="1"/>
  <c r="N73" i="1"/>
  <c r="P73" i="1" s="1"/>
  <c r="M73" i="1"/>
  <c r="K73" i="1"/>
  <c r="I73" i="1"/>
  <c r="G73" i="1"/>
  <c r="F73" i="1"/>
  <c r="H73" i="1" s="1"/>
  <c r="E73" i="1"/>
  <c r="C73" i="1"/>
  <c r="AY73" i="1" s="1"/>
  <c r="BA73" i="1" s="1"/>
  <c r="BA72" i="1"/>
  <c r="AY72" i="1"/>
  <c r="AW72" i="1"/>
  <c r="AV72" i="1"/>
  <c r="AS72" i="1"/>
  <c r="AR72" i="1"/>
  <c r="AO72" i="1"/>
  <c r="AN72" i="1"/>
  <c r="AK72" i="1"/>
  <c r="AJ72" i="1"/>
  <c r="AG72" i="1"/>
  <c r="AF72" i="1"/>
  <c r="AC72" i="1"/>
  <c r="Z72" i="1"/>
  <c r="Y72" i="1"/>
  <c r="V72" i="1"/>
  <c r="X72" i="1" s="1"/>
  <c r="U72" i="1"/>
  <c r="T72" i="1"/>
  <c r="R72" i="1"/>
  <c r="R73" i="1" s="1"/>
  <c r="T73" i="1" s="1"/>
  <c r="Q72" i="1"/>
  <c r="N72" i="1"/>
  <c r="P72" i="1" s="1"/>
  <c r="M72" i="1"/>
  <c r="L72" i="1"/>
  <c r="J72" i="1"/>
  <c r="J73" i="1" s="1"/>
  <c r="L73" i="1" s="1"/>
  <c r="I72" i="1"/>
  <c r="H72" i="1"/>
  <c r="F72" i="1"/>
  <c r="E72" i="1"/>
  <c r="D72" i="1"/>
  <c r="B72" i="1"/>
  <c r="B73" i="1" s="1"/>
  <c r="AU70" i="1"/>
  <c r="AP70" i="1"/>
  <c r="AH70" i="1"/>
  <c r="AE70" i="1"/>
  <c r="S70" i="1"/>
  <c r="S74" i="1" s="1"/>
  <c r="U74" i="1" s="1"/>
  <c r="AU69" i="1"/>
  <c r="AW69" i="1" s="1"/>
  <c r="AT69" i="1"/>
  <c r="AT70" i="1" s="1"/>
  <c r="AT74" i="1" s="1"/>
  <c r="AQ69" i="1"/>
  <c r="AS69" i="1" s="1"/>
  <c r="AP69" i="1"/>
  <c r="AO69" i="1"/>
  <c r="AM69" i="1"/>
  <c r="AM70" i="1" s="1"/>
  <c r="AL69" i="1"/>
  <c r="AL70" i="1" s="1"/>
  <c r="AL74" i="1" s="1"/>
  <c r="AJ69" i="1"/>
  <c r="AI69" i="1"/>
  <c r="AK69" i="1" s="1"/>
  <c r="AH69" i="1"/>
  <c r="AF69" i="1"/>
  <c r="AE69" i="1"/>
  <c r="AG69" i="1" s="1"/>
  <c r="AD69" i="1"/>
  <c r="AD70" i="1" s="1"/>
  <c r="AD74" i="1" s="1"/>
  <c r="AA69" i="1"/>
  <c r="AC69" i="1" s="1"/>
  <c r="Z69" i="1"/>
  <c r="W69" i="1"/>
  <c r="Y69" i="1" s="1"/>
  <c r="V69" i="1"/>
  <c r="S69" i="1"/>
  <c r="U69" i="1" s="1"/>
  <c r="Q69" i="1"/>
  <c r="O69" i="1"/>
  <c r="O70" i="1" s="1"/>
  <c r="K69" i="1"/>
  <c r="M69" i="1" s="1"/>
  <c r="G69" i="1"/>
  <c r="I69" i="1" s="1"/>
  <c r="C69" i="1"/>
  <c r="E69" i="1" s="1"/>
  <c r="AY68" i="1"/>
  <c r="BA68" i="1" s="1"/>
  <c r="AW68" i="1"/>
  <c r="AV68" i="1"/>
  <c r="AS68" i="1"/>
  <c r="AR68" i="1"/>
  <c r="AO68" i="1"/>
  <c r="AN68" i="1"/>
  <c r="AK68" i="1"/>
  <c r="AJ68" i="1"/>
  <c r="AG68" i="1"/>
  <c r="AF68" i="1"/>
  <c r="AC68" i="1"/>
  <c r="AB68" i="1"/>
  <c r="Y68" i="1"/>
  <c r="X68" i="1"/>
  <c r="U68" i="1"/>
  <c r="T68" i="1"/>
  <c r="R68" i="1"/>
  <c r="Q68" i="1"/>
  <c r="P68" i="1"/>
  <c r="N68" i="1"/>
  <c r="M68" i="1"/>
  <c r="L68" i="1"/>
  <c r="J68" i="1"/>
  <c r="I68" i="1"/>
  <c r="F68" i="1"/>
  <c r="H68" i="1" s="1"/>
  <c r="E68" i="1"/>
  <c r="B68" i="1"/>
  <c r="BA67" i="1"/>
  <c r="AY67" i="1"/>
  <c r="AW67" i="1"/>
  <c r="AV67" i="1"/>
  <c r="AS67" i="1"/>
  <c r="AR67" i="1"/>
  <c r="AO67" i="1"/>
  <c r="AN67" i="1"/>
  <c r="AK67" i="1"/>
  <c r="AJ67" i="1"/>
  <c r="AG67" i="1"/>
  <c r="AF67" i="1"/>
  <c r="AC67" i="1"/>
  <c r="AB67" i="1"/>
  <c r="Y67" i="1"/>
  <c r="X67" i="1"/>
  <c r="U67" i="1"/>
  <c r="R67" i="1"/>
  <c r="T67" i="1" s="1"/>
  <c r="Q67" i="1"/>
  <c r="N67" i="1"/>
  <c r="P67" i="1" s="1"/>
  <c r="M67" i="1"/>
  <c r="J67" i="1"/>
  <c r="L67" i="1" s="1"/>
  <c r="I67" i="1"/>
  <c r="H67" i="1"/>
  <c r="F67" i="1"/>
  <c r="E67" i="1"/>
  <c r="D67" i="1"/>
  <c r="B67" i="1"/>
  <c r="BA66" i="1"/>
  <c r="AY66" i="1"/>
  <c r="AW66" i="1"/>
  <c r="AV66" i="1"/>
  <c r="AS66" i="1"/>
  <c r="AR66" i="1"/>
  <c r="AO66" i="1"/>
  <c r="AN66" i="1"/>
  <c r="AK66" i="1"/>
  <c r="AJ66" i="1"/>
  <c r="AG66" i="1"/>
  <c r="AF66" i="1"/>
  <c r="AC66" i="1"/>
  <c r="AB66" i="1"/>
  <c r="Y66" i="1"/>
  <c r="X66" i="1"/>
  <c r="U66" i="1"/>
  <c r="T66" i="1"/>
  <c r="R66" i="1"/>
  <c r="Q66" i="1"/>
  <c r="P66" i="1"/>
  <c r="N66" i="1"/>
  <c r="M66" i="1"/>
  <c r="L66" i="1"/>
  <c r="J66" i="1"/>
  <c r="I66" i="1"/>
  <c r="H66" i="1"/>
  <c r="F66" i="1"/>
  <c r="E66" i="1"/>
  <c r="B66" i="1"/>
  <c r="AX66" i="1" s="1"/>
  <c r="AZ66" i="1" s="1"/>
  <c r="AY65" i="1"/>
  <c r="BA65" i="1" s="1"/>
  <c r="AW65" i="1"/>
  <c r="AV65" i="1"/>
  <c r="AS65" i="1"/>
  <c r="AR65" i="1"/>
  <c r="AO65" i="1"/>
  <c r="AN65" i="1"/>
  <c r="AK65" i="1"/>
  <c r="AJ65" i="1"/>
  <c r="AG65" i="1"/>
  <c r="AF65" i="1"/>
  <c r="AC65" i="1"/>
  <c r="AB65" i="1"/>
  <c r="Y65" i="1"/>
  <c r="X65" i="1"/>
  <c r="U65" i="1"/>
  <c r="T65" i="1"/>
  <c r="R65" i="1"/>
  <c r="R69" i="1" s="1"/>
  <c r="T69" i="1" s="1"/>
  <c r="Q65" i="1"/>
  <c r="P65" i="1"/>
  <c r="N65" i="1"/>
  <c r="M65" i="1"/>
  <c r="J65" i="1"/>
  <c r="I65" i="1"/>
  <c r="F65" i="1"/>
  <c r="E65" i="1"/>
  <c r="B65" i="1"/>
  <c r="B69" i="1" s="1"/>
  <c r="AY64" i="1"/>
  <c r="BA64" i="1" s="1"/>
  <c r="AX64" i="1"/>
  <c r="AW64" i="1"/>
  <c r="AV64" i="1"/>
  <c r="AS64" i="1"/>
  <c r="AR64" i="1"/>
  <c r="AO64" i="1"/>
  <c r="AN64" i="1"/>
  <c r="AK64" i="1"/>
  <c r="AJ64" i="1"/>
  <c r="AG64" i="1"/>
  <c r="AF64" i="1"/>
  <c r="AC64" i="1"/>
  <c r="AB64" i="1"/>
  <c r="Y64" i="1"/>
  <c r="X64" i="1"/>
  <c r="U64" i="1"/>
  <c r="T64" i="1"/>
  <c r="Q64" i="1"/>
  <c r="P64" i="1"/>
  <c r="M64" i="1"/>
  <c r="L64" i="1"/>
  <c r="I64" i="1"/>
  <c r="H64" i="1"/>
  <c r="E64" i="1"/>
  <c r="D64" i="1"/>
  <c r="BA63" i="1"/>
  <c r="AY63" i="1"/>
  <c r="AW63" i="1"/>
  <c r="AV63" i="1"/>
  <c r="AS63" i="1"/>
  <c r="AR63" i="1"/>
  <c r="AO63" i="1"/>
  <c r="AN63" i="1"/>
  <c r="AK63" i="1"/>
  <c r="AJ63" i="1"/>
  <c r="AG63" i="1"/>
  <c r="AF63" i="1"/>
  <c r="AC63" i="1"/>
  <c r="Z63" i="1"/>
  <c r="Y63" i="1"/>
  <c r="V63" i="1"/>
  <c r="V70" i="1" s="1"/>
  <c r="U63" i="1"/>
  <c r="T63" i="1"/>
  <c r="R63" i="1"/>
  <c r="R70" i="1" s="1"/>
  <c r="R74" i="1" s="1"/>
  <c r="T74" i="1" s="1"/>
  <c r="Q63" i="1"/>
  <c r="N63" i="1"/>
  <c r="P63" i="1" s="1"/>
  <c r="M63" i="1"/>
  <c r="L63" i="1"/>
  <c r="J63" i="1"/>
  <c r="I63" i="1"/>
  <c r="H63" i="1"/>
  <c r="F63" i="1"/>
  <c r="E63" i="1"/>
  <c r="D63" i="1"/>
  <c r="B63" i="1"/>
  <c r="AX63" i="1" s="1"/>
  <c r="AZ63" i="1" s="1"/>
  <c r="BA59" i="1"/>
  <c r="AY59" i="1"/>
  <c r="AW59" i="1"/>
  <c r="AV59" i="1"/>
  <c r="AS59" i="1"/>
  <c r="AR59" i="1"/>
  <c r="AO59" i="1"/>
  <c r="AN59" i="1"/>
  <c r="AK59" i="1"/>
  <c r="AJ59" i="1"/>
  <c r="AG59" i="1"/>
  <c r="AF59" i="1"/>
  <c r="AC59" i="1"/>
  <c r="AB59" i="1"/>
  <c r="Y59" i="1"/>
  <c r="X59" i="1"/>
  <c r="U59" i="1"/>
  <c r="T59" i="1"/>
  <c r="Q59" i="1"/>
  <c r="P59" i="1"/>
  <c r="M59" i="1"/>
  <c r="L59" i="1"/>
  <c r="I59" i="1"/>
  <c r="F59" i="1"/>
  <c r="E59" i="1"/>
  <c r="D59" i="1"/>
  <c r="AU58" i="1"/>
  <c r="AT58" i="1"/>
  <c r="AP58" i="1"/>
  <c r="AL58" i="1"/>
  <c r="AH58" i="1"/>
  <c r="AD58" i="1"/>
  <c r="V58" i="1"/>
  <c r="N58" i="1"/>
  <c r="J58" i="1"/>
  <c r="F58" i="1"/>
  <c r="B58" i="1"/>
  <c r="AX57" i="1"/>
  <c r="AW57" i="1"/>
  <c r="AU57" i="1"/>
  <c r="AV57" i="1" s="1"/>
  <c r="AQ57" i="1"/>
  <c r="AO57" i="1"/>
  <c r="AN57" i="1"/>
  <c r="AM57" i="1"/>
  <c r="AK57" i="1"/>
  <c r="AI57" i="1"/>
  <c r="AJ57" i="1" s="1"/>
  <c r="AE57" i="1"/>
  <c r="AC57" i="1"/>
  <c r="AB57" i="1"/>
  <c r="AA57" i="1"/>
  <c r="Y57" i="1"/>
  <c r="X57" i="1"/>
  <c r="W57" i="1"/>
  <c r="T57" i="1"/>
  <c r="S57" i="1"/>
  <c r="U57" i="1" s="1"/>
  <c r="O57" i="1"/>
  <c r="K57" i="1"/>
  <c r="L57" i="1" s="1"/>
  <c r="H57" i="1"/>
  <c r="G57" i="1"/>
  <c r="I57" i="1" s="1"/>
  <c r="C57" i="1"/>
  <c r="AX56" i="1"/>
  <c r="AW56" i="1"/>
  <c r="AV56" i="1"/>
  <c r="AU56" i="1"/>
  <c r="AQ56" i="1"/>
  <c r="AN56" i="1"/>
  <c r="AM56" i="1"/>
  <c r="AO56" i="1" s="1"/>
  <c r="AK56" i="1"/>
  <c r="AJ56" i="1"/>
  <c r="AI56" i="1"/>
  <c r="AE56" i="1"/>
  <c r="AB56" i="1"/>
  <c r="AA56" i="1"/>
  <c r="AC56" i="1" s="1"/>
  <c r="Y56" i="1"/>
  <c r="X56" i="1"/>
  <c r="W56" i="1"/>
  <c r="T56" i="1"/>
  <c r="S56" i="1"/>
  <c r="U56" i="1" s="1"/>
  <c r="O56" i="1"/>
  <c r="M56" i="1"/>
  <c r="K56" i="1"/>
  <c r="L56" i="1" s="1"/>
  <c r="H56" i="1"/>
  <c r="G56" i="1"/>
  <c r="I56" i="1" s="1"/>
  <c r="C56" i="1"/>
  <c r="AW55" i="1"/>
  <c r="AU55" i="1"/>
  <c r="AV55" i="1" s="1"/>
  <c r="AQ55" i="1"/>
  <c r="AO55" i="1"/>
  <c r="AN55" i="1"/>
  <c r="AM55" i="1"/>
  <c r="AK55" i="1"/>
  <c r="AI55" i="1"/>
  <c r="AJ55" i="1" s="1"/>
  <c r="AE55" i="1"/>
  <c r="AA55" i="1"/>
  <c r="Z55" i="1"/>
  <c r="W55" i="1"/>
  <c r="X55" i="1" s="1"/>
  <c r="T55" i="1"/>
  <c r="S55" i="1"/>
  <c r="U55" i="1" s="1"/>
  <c r="R55" i="1"/>
  <c r="Q55" i="1"/>
  <c r="P55" i="1"/>
  <c r="O55" i="1"/>
  <c r="K55" i="1"/>
  <c r="I55" i="1"/>
  <c r="H55" i="1"/>
  <c r="G55" i="1"/>
  <c r="E55" i="1"/>
  <c r="C55" i="1"/>
  <c r="D55" i="1" s="1"/>
  <c r="AY54" i="1"/>
  <c r="AW54" i="1"/>
  <c r="AV54" i="1"/>
  <c r="AU54" i="1"/>
  <c r="AR54" i="1"/>
  <c r="AQ54" i="1"/>
  <c r="AS54" i="1" s="1"/>
  <c r="AO54" i="1"/>
  <c r="AN54" i="1"/>
  <c r="AM54" i="1"/>
  <c r="AM58" i="1" s="1"/>
  <c r="AI54" i="1"/>
  <c r="AF54" i="1"/>
  <c r="AE54" i="1"/>
  <c r="AG54" i="1" s="1"/>
  <c r="AC54" i="1"/>
  <c r="AB54" i="1"/>
  <c r="AA54" i="1"/>
  <c r="AA58" i="1" s="1"/>
  <c r="W54" i="1"/>
  <c r="S54" i="1"/>
  <c r="S58" i="1" s="1"/>
  <c r="R54" i="1"/>
  <c r="Q54" i="1"/>
  <c r="O54" i="1"/>
  <c r="P54" i="1" s="1"/>
  <c r="L54" i="1"/>
  <c r="K54" i="1"/>
  <c r="M54" i="1" s="1"/>
  <c r="G54" i="1"/>
  <c r="D54" i="1"/>
  <c r="C54" i="1"/>
  <c r="E54" i="1" s="1"/>
  <c r="AZ53" i="1"/>
  <c r="AY53" i="1"/>
  <c r="BA53" i="1" s="1"/>
  <c r="AX53" i="1"/>
  <c r="AW53" i="1"/>
  <c r="AV53" i="1"/>
  <c r="AS53" i="1"/>
  <c r="AR53" i="1"/>
  <c r="AO53" i="1"/>
  <c r="AN53" i="1"/>
  <c r="AK53" i="1"/>
  <c r="AJ53" i="1"/>
  <c r="AG53" i="1"/>
  <c r="AF53" i="1"/>
  <c r="AC53" i="1"/>
  <c r="AB53" i="1"/>
  <c r="Y53" i="1"/>
  <c r="X53" i="1"/>
  <c r="U53" i="1"/>
  <c r="T53" i="1"/>
  <c r="Q53" i="1"/>
  <c r="P53" i="1"/>
  <c r="M53" i="1"/>
  <c r="L53" i="1"/>
  <c r="I53" i="1"/>
  <c r="H53" i="1"/>
  <c r="E53" i="1"/>
  <c r="D53" i="1"/>
  <c r="AT52" i="1"/>
  <c r="AP52" i="1"/>
  <c r="AL52" i="1"/>
  <c r="O52" i="1"/>
  <c r="F52" i="1"/>
  <c r="AW51" i="1"/>
  <c r="AU51" i="1"/>
  <c r="AV51" i="1" s="1"/>
  <c r="AQ51" i="1"/>
  <c r="AN51" i="1"/>
  <c r="AM51" i="1"/>
  <c r="AO51" i="1" s="1"/>
  <c r="AJ51" i="1"/>
  <c r="AI51" i="1"/>
  <c r="AK51" i="1" s="1"/>
  <c r="AH51" i="1"/>
  <c r="AH52" i="1" s="1"/>
  <c r="AF51" i="1"/>
  <c r="AE51" i="1"/>
  <c r="AG51" i="1" s="1"/>
  <c r="AD51" i="1"/>
  <c r="AD52" i="1" s="1"/>
  <c r="AB51" i="1"/>
  <c r="AA51" i="1"/>
  <c r="AC51" i="1" s="1"/>
  <c r="Z51" i="1"/>
  <c r="X51" i="1"/>
  <c r="W51" i="1"/>
  <c r="Y51" i="1" s="1"/>
  <c r="V51" i="1"/>
  <c r="T51" i="1"/>
  <c r="S51" i="1"/>
  <c r="U51" i="1" s="1"/>
  <c r="R51" i="1"/>
  <c r="P51" i="1"/>
  <c r="O51" i="1"/>
  <c r="Q51" i="1" s="1"/>
  <c r="N51" i="1"/>
  <c r="L51" i="1"/>
  <c r="K51" i="1"/>
  <c r="M51" i="1" s="1"/>
  <c r="J51" i="1"/>
  <c r="H51" i="1"/>
  <c r="G51" i="1"/>
  <c r="I51" i="1" s="1"/>
  <c r="F51" i="1"/>
  <c r="D51" i="1"/>
  <c r="C51" i="1"/>
  <c r="AY51" i="1" s="1"/>
  <c r="B51" i="1"/>
  <c r="AX51" i="1" s="1"/>
  <c r="AZ51" i="1" s="1"/>
  <c r="AV50" i="1"/>
  <c r="AU50" i="1"/>
  <c r="AW50" i="1" s="1"/>
  <c r="AQ50" i="1"/>
  <c r="AN50" i="1"/>
  <c r="AM50" i="1"/>
  <c r="AO50" i="1" s="1"/>
  <c r="AK50" i="1"/>
  <c r="AJ50" i="1"/>
  <c r="AI50" i="1"/>
  <c r="AF50" i="1"/>
  <c r="AE50" i="1"/>
  <c r="AG50" i="1" s="1"/>
  <c r="AA50" i="1"/>
  <c r="Y50" i="1"/>
  <c r="X50" i="1"/>
  <c r="W50" i="1"/>
  <c r="U50" i="1"/>
  <c r="S50" i="1"/>
  <c r="T50" i="1" s="1"/>
  <c r="P50" i="1"/>
  <c r="O50" i="1"/>
  <c r="Q50" i="1" s="1"/>
  <c r="N50" i="1"/>
  <c r="L50" i="1"/>
  <c r="K50" i="1"/>
  <c r="M50" i="1" s="1"/>
  <c r="J50" i="1"/>
  <c r="AX50" i="1" s="1"/>
  <c r="H50" i="1"/>
  <c r="G50" i="1"/>
  <c r="I50" i="1" s="1"/>
  <c r="C50" i="1"/>
  <c r="AX49" i="1"/>
  <c r="AW49" i="1"/>
  <c r="AV49" i="1"/>
  <c r="AU49" i="1"/>
  <c r="AS49" i="1"/>
  <c r="AQ49" i="1"/>
  <c r="AR49" i="1" s="1"/>
  <c r="AN49" i="1"/>
  <c r="AM49" i="1"/>
  <c r="AO49" i="1" s="1"/>
  <c r="AI49" i="1"/>
  <c r="AF49" i="1"/>
  <c r="AE49" i="1"/>
  <c r="AG49" i="1" s="1"/>
  <c r="AC49" i="1"/>
  <c r="AB49" i="1"/>
  <c r="AA49" i="1"/>
  <c r="Z49" i="1"/>
  <c r="Y49" i="1"/>
  <c r="W49" i="1"/>
  <c r="X49" i="1" s="1"/>
  <c r="T49" i="1"/>
  <c r="S49" i="1"/>
  <c r="U49" i="1" s="1"/>
  <c r="R49" i="1"/>
  <c r="P49" i="1"/>
  <c r="O49" i="1"/>
  <c r="Q49" i="1" s="1"/>
  <c r="N49" i="1"/>
  <c r="L49" i="1"/>
  <c r="K49" i="1"/>
  <c r="M49" i="1" s="1"/>
  <c r="G49" i="1"/>
  <c r="I49" i="1" s="1"/>
  <c r="F49" i="1"/>
  <c r="C49" i="1"/>
  <c r="AX48" i="1"/>
  <c r="AV48" i="1"/>
  <c r="AU48" i="1"/>
  <c r="AW48" i="1" s="1"/>
  <c r="AS48" i="1"/>
  <c r="AR48" i="1"/>
  <c r="AQ48" i="1"/>
  <c r="AN48" i="1"/>
  <c r="AM48" i="1"/>
  <c r="AO48" i="1" s="1"/>
  <c r="AI48" i="1"/>
  <c r="AG48" i="1"/>
  <c r="AF48" i="1"/>
  <c r="AE48" i="1"/>
  <c r="AC48" i="1"/>
  <c r="AA48" i="1"/>
  <c r="AB48" i="1" s="1"/>
  <c r="X48" i="1"/>
  <c r="W48" i="1"/>
  <c r="Y48" i="1" s="1"/>
  <c r="S48" i="1"/>
  <c r="P48" i="1"/>
  <c r="O48" i="1"/>
  <c r="Q48" i="1" s="1"/>
  <c r="M48" i="1"/>
  <c r="L48" i="1"/>
  <c r="K48" i="1"/>
  <c r="J48" i="1"/>
  <c r="I48" i="1"/>
  <c r="G48" i="1"/>
  <c r="F48" i="1"/>
  <c r="H48" i="1" s="1"/>
  <c r="E48" i="1"/>
  <c r="D48" i="1"/>
  <c r="C48" i="1"/>
  <c r="B48" i="1"/>
  <c r="AW47" i="1"/>
  <c r="AV47" i="1"/>
  <c r="AU47" i="1"/>
  <c r="AR47" i="1"/>
  <c r="AQ47" i="1"/>
  <c r="AS47" i="1" s="1"/>
  <c r="AM47" i="1"/>
  <c r="AK47" i="1"/>
  <c r="AJ47" i="1"/>
  <c r="AI47" i="1"/>
  <c r="AG47" i="1"/>
  <c r="AE47" i="1"/>
  <c r="AF47" i="1" s="1"/>
  <c r="AA47" i="1"/>
  <c r="AC47" i="1" s="1"/>
  <c r="W47" i="1"/>
  <c r="S47" i="1"/>
  <c r="U47" i="1" s="1"/>
  <c r="R47" i="1"/>
  <c r="T47" i="1" s="1"/>
  <c r="Q47" i="1"/>
  <c r="P47" i="1"/>
  <c r="O47" i="1"/>
  <c r="M47" i="1"/>
  <c r="K47" i="1"/>
  <c r="J47" i="1"/>
  <c r="L47" i="1" s="1"/>
  <c r="I47" i="1"/>
  <c r="H47" i="1"/>
  <c r="G47" i="1"/>
  <c r="D47" i="1"/>
  <c r="C47" i="1"/>
  <c r="E47" i="1" s="1"/>
  <c r="AY46" i="1"/>
  <c r="AU46" i="1"/>
  <c r="AU52" i="1" s="1"/>
  <c r="AW52" i="1" s="1"/>
  <c r="AR46" i="1"/>
  <c r="AQ46" i="1"/>
  <c r="AS46" i="1" s="1"/>
  <c r="AO46" i="1"/>
  <c r="AN46" i="1"/>
  <c r="AM46" i="1"/>
  <c r="AM52" i="1" s="1"/>
  <c r="AO52" i="1" s="1"/>
  <c r="AJ46" i="1"/>
  <c r="AI46" i="1"/>
  <c r="AK46" i="1" s="1"/>
  <c r="AE46" i="1"/>
  <c r="AC46" i="1"/>
  <c r="AA46" i="1"/>
  <c r="Z46" i="1"/>
  <c r="W46" i="1"/>
  <c r="W52" i="1" s="1"/>
  <c r="V46" i="1"/>
  <c r="U46" i="1"/>
  <c r="S46" i="1"/>
  <c r="R46" i="1"/>
  <c r="O46" i="1"/>
  <c r="Q46" i="1" s="1"/>
  <c r="N46" i="1"/>
  <c r="M46" i="1"/>
  <c r="K46" i="1"/>
  <c r="K52" i="1" s="1"/>
  <c r="J46" i="1"/>
  <c r="G46" i="1"/>
  <c r="I46" i="1" s="1"/>
  <c r="F46" i="1"/>
  <c r="H46" i="1" s="1"/>
  <c r="E46" i="1"/>
  <c r="C46" i="1"/>
  <c r="C52" i="1" s="1"/>
  <c r="B46" i="1"/>
  <c r="D46" i="1" s="1"/>
  <c r="AY45" i="1"/>
  <c r="BA45" i="1" s="1"/>
  <c r="AX45" i="1"/>
  <c r="AZ45" i="1" s="1"/>
  <c r="AW45" i="1"/>
  <c r="AV45" i="1"/>
  <c r="AS45" i="1"/>
  <c r="AR45" i="1"/>
  <c r="AO45" i="1"/>
  <c r="AN45" i="1"/>
  <c r="AK45" i="1"/>
  <c r="AJ45" i="1"/>
  <c r="AG45" i="1"/>
  <c r="AF45" i="1"/>
  <c r="AC45" i="1"/>
  <c r="AB45" i="1"/>
  <c r="Y45" i="1"/>
  <c r="X45" i="1"/>
  <c r="U45" i="1"/>
  <c r="T45" i="1"/>
  <c r="Q45" i="1"/>
  <c r="P45" i="1"/>
  <c r="M45" i="1"/>
  <c r="L45" i="1"/>
  <c r="I45" i="1"/>
  <c r="H45" i="1"/>
  <c r="F45" i="1"/>
  <c r="E45" i="1"/>
  <c r="D45" i="1"/>
  <c r="B45" i="1"/>
  <c r="AU44" i="1"/>
  <c r="AW44" i="1" s="1"/>
  <c r="AT44" i="1"/>
  <c r="AP44" i="1"/>
  <c r="AN44" i="1"/>
  <c r="AM44" i="1"/>
  <c r="AO44" i="1" s="1"/>
  <c r="AL44" i="1"/>
  <c r="AH44" i="1"/>
  <c r="AD44" i="1"/>
  <c r="Z44" i="1"/>
  <c r="O44" i="1"/>
  <c r="G44" i="1"/>
  <c r="B44" i="1"/>
  <c r="AX43" i="1"/>
  <c r="AV43" i="1"/>
  <c r="AU43" i="1"/>
  <c r="AW43" i="1" s="1"/>
  <c r="AS43" i="1"/>
  <c r="AR43" i="1"/>
  <c r="AQ43" i="1"/>
  <c r="AQ44" i="1" s="1"/>
  <c r="AS44" i="1" s="1"/>
  <c r="AO43" i="1"/>
  <c r="AN43" i="1"/>
  <c r="AM43" i="1"/>
  <c r="AK43" i="1"/>
  <c r="AI43" i="1"/>
  <c r="AG43" i="1"/>
  <c r="AF43" i="1"/>
  <c r="AE43" i="1"/>
  <c r="AE44" i="1" s="1"/>
  <c r="AG44" i="1" s="1"/>
  <c r="AC43" i="1"/>
  <c r="AA43" i="1"/>
  <c r="X43" i="1"/>
  <c r="W43" i="1"/>
  <c r="Y43" i="1" s="1"/>
  <c r="V43" i="1"/>
  <c r="U43" i="1"/>
  <c r="T43" i="1"/>
  <c r="S43" i="1"/>
  <c r="S44" i="1" s="1"/>
  <c r="R43" i="1"/>
  <c r="R44" i="1" s="1"/>
  <c r="T44" i="1" s="1"/>
  <c r="O43" i="1"/>
  <c r="Q43" i="1" s="1"/>
  <c r="N43" i="1"/>
  <c r="M43" i="1"/>
  <c r="L43" i="1"/>
  <c r="K43" i="1"/>
  <c r="K44" i="1" s="1"/>
  <c r="M44" i="1" s="1"/>
  <c r="J43" i="1"/>
  <c r="H43" i="1"/>
  <c r="G43" i="1"/>
  <c r="I43" i="1" s="1"/>
  <c r="E43" i="1"/>
  <c r="D43" i="1"/>
  <c r="C43" i="1"/>
  <c r="C44" i="1" s="1"/>
  <c r="AY42" i="1"/>
  <c r="BA42" i="1" s="1"/>
  <c r="AW42" i="1"/>
  <c r="AV42" i="1"/>
  <c r="AS42" i="1"/>
  <c r="AR42" i="1"/>
  <c r="AO42" i="1"/>
  <c r="AN42" i="1"/>
  <c r="AK42" i="1"/>
  <c r="AJ42" i="1"/>
  <c r="AG42" i="1"/>
  <c r="AF42" i="1"/>
  <c r="AC42" i="1"/>
  <c r="AB42" i="1"/>
  <c r="Y42" i="1"/>
  <c r="V42" i="1"/>
  <c r="V44" i="1" s="1"/>
  <c r="U42" i="1"/>
  <c r="T42" i="1"/>
  <c r="Q42" i="1"/>
  <c r="P42" i="1"/>
  <c r="M42" i="1"/>
  <c r="J42" i="1"/>
  <c r="L42" i="1" s="1"/>
  <c r="I42" i="1"/>
  <c r="H42" i="1"/>
  <c r="F42" i="1"/>
  <c r="F44" i="1" s="1"/>
  <c r="H44" i="1" s="1"/>
  <c r="E42" i="1"/>
  <c r="D42" i="1"/>
  <c r="BA41" i="1"/>
  <c r="AY41" i="1"/>
  <c r="AX41" i="1"/>
  <c r="AW41" i="1"/>
  <c r="AV41" i="1"/>
  <c r="AS41" i="1"/>
  <c r="AR41" i="1"/>
  <c r="AO41" i="1"/>
  <c r="AN41" i="1"/>
  <c r="AK41" i="1"/>
  <c r="AJ41" i="1"/>
  <c r="AG41" i="1"/>
  <c r="AF41" i="1"/>
  <c r="AC41" i="1"/>
  <c r="AB41" i="1"/>
  <c r="Y41" i="1"/>
  <c r="X41" i="1"/>
  <c r="U41" i="1"/>
  <c r="T41" i="1"/>
  <c r="Q41" i="1"/>
  <c r="P41" i="1"/>
  <c r="M41" i="1"/>
  <c r="L41" i="1"/>
  <c r="I41" i="1"/>
  <c r="H41" i="1"/>
  <c r="E41" i="1"/>
  <c r="D41" i="1"/>
  <c r="AT40" i="1"/>
  <c r="AP40" i="1"/>
  <c r="AL40" i="1"/>
  <c r="AH40" i="1"/>
  <c r="AX39" i="1"/>
  <c r="AW39" i="1"/>
  <c r="AV39" i="1"/>
  <c r="AU39" i="1"/>
  <c r="AQ39" i="1"/>
  <c r="AM39" i="1"/>
  <c r="AK39" i="1"/>
  <c r="AJ39" i="1"/>
  <c r="AI39" i="1"/>
  <c r="AF39" i="1"/>
  <c r="AE39" i="1"/>
  <c r="AG39" i="1" s="1"/>
  <c r="AB39" i="1"/>
  <c r="AA39" i="1"/>
  <c r="AC39" i="1" s="1"/>
  <c r="Y39" i="1"/>
  <c r="X39" i="1"/>
  <c r="W39" i="1"/>
  <c r="U39" i="1"/>
  <c r="T39" i="1"/>
  <c r="S39" i="1"/>
  <c r="Q39" i="1"/>
  <c r="P39" i="1"/>
  <c r="O39" i="1"/>
  <c r="K39" i="1"/>
  <c r="G39" i="1"/>
  <c r="E39" i="1"/>
  <c r="D39" i="1"/>
  <c r="C39" i="1"/>
  <c r="AW38" i="1"/>
  <c r="AV38" i="1"/>
  <c r="AU38" i="1"/>
  <c r="AQ38" i="1"/>
  <c r="AM38" i="1"/>
  <c r="AK38" i="1"/>
  <c r="AJ38" i="1"/>
  <c r="AI38" i="1"/>
  <c r="AF38" i="1"/>
  <c r="AE38" i="1"/>
  <c r="AG38" i="1" s="1"/>
  <c r="AA38" i="1"/>
  <c r="AC38" i="1" s="1"/>
  <c r="Z38" i="1"/>
  <c r="W38" i="1"/>
  <c r="S38" i="1"/>
  <c r="U38" i="1" s="1"/>
  <c r="R38" i="1"/>
  <c r="T38" i="1" s="1"/>
  <c r="Q38" i="1"/>
  <c r="P38" i="1"/>
  <c r="O38" i="1"/>
  <c r="M38" i="1"/>
  <c r="L38" i="1"/>
  <c r="K38" i="1"/>
  <c r="I38" i="1"/>
  <c r="H38" i="1"/>
  <c r="G38" i="1"/>
  <c r="C38" i="1"/>
  <c r="B38" i="1"/>
  <c r="AU37" i="1"/>
  <c r="AQ37" i="1"/>
  <c r="AO37" i="1"/>
  <c r="AN37" i="1"/>
  <c r="AM37" i="1"/>
  <c r="AJ37" i="1"/>
  <c r="AI37" i="1"/>
  <c r="AK37" i="1" s="1"/>
  <c r="AF37" i="1"/>
  <c r="AE37" i="1"/>
  <c r="AD37" i="1"/>
  <c r="AD40" i="1" s="1"/>
  <c r="AA37" i="1"/>
  <c r="Z37" i="1"/>
  <c r="X37" i="1"/>
  <c r="W37" i="1"/>
  <c r="V37" i="1"/>
  <c r="V40" i="1" s="1"/>
  <c r="S37" i="1"/>
  <c r="R37" i="1"/>
  <c r="P37" i="1"/>
  <c r="O37" i="1"/>
  <c r="N37" i="1"/>
  <c r="N40" i="1" s="1"/>
  <c r="K37" i="1"/>
  <c r="J37" i="1"/>
  <c r="G37" i="1"/>
  <c r="F37" i="1"/>
  <c r="F40" i="1" s="1"/>
  <c r="C37" i="1"/>
  <c r="AY37" i="1" s="1"/>
  <c r="B37" i="1"/>
  <c r="AZ36" i="1"/>
  <c r="AY36" i="1"/>
  <c r="BA36" i="1" s="1"/>
  <c r="AX36" i="1"/>
  <c r="AW36" i="1"/>
  <c r="AV36" i="1"/>
  <c r="AS36" i="1"/>
  <c r="AR36" i="1"/>
  <c r="AO36" i="1"/>
  <c r="AN36" i="1"/>
  <c r="AK36" i="1"/>
  <c r="AJ36" i="1"/>
  <c r="AG36" i="1"/>
  <c r="AF36" i="1"/>
  <c r="AC36" i="1"/>
  <c r="AB36" i="1"/>
  <c r="Y36" i="1"/>
  <c r="X36" i="1"/>
  <c r="U36" i="1"/>
  <c r="T36" i="1"/>
  <c r="Q36" i="1"/>
  <c r="P36" i="1"/>
  <c r="M36" i="1"/>
  <c r="L36" i="1"/>
  <c r="I36" i="1"/>
  <c r="H36" i="1"/>
  <c r="E36" i="1"/>
  <c r="D36" i="1"/>
  <c r="AT35" i="1"/>
  <c r="AT60" i="1" s="1"/>
  <c r="AQ35" i="1"/>
  <c r="AS35" i="1" s="1"/>
  <c r="AP35" i="1"/>
  <c r="AP60" i="1" s="1"/>
  <c r="AL35" i="1"/>
  <c r="AH35" i="1"/>
  <c r="O35" i="1"/>
  <c r="AU34" i="1"/>
  <c r="AS34" i="1"/>
  <c r="AQ34" i="1"/>
  <c r="AR34" i="1" s="1"/>
  <c r="AO34" i="1"/>
  <c r="AN34" i="1"/>
  <c r="AM34" i="1"/>
  <c r="AI34" i="1"/>
  <c r="AK34" i="1" s="1"/>
  <c r="AF34" i="1"/>
  <c r="AE34" i="1"/>
  <c r="AG34" i="1" s="1"/>
  <c r="AD34" i="1"/>
  <c r="AA34" i="1"/>
  <c r="Z34" i="1"/>
  <c r="AB34" i="1" s="1"/>
  <c r="W34" i="1"/>
  <c r="Y34" i="1" s="1"/>
  <c r="V34" i="1"/>
  <c r="S34" i="1"/>
  <c r="U34" i="1" s="1"/>
  <c r="R34" i="1"/>
  <c r="O34" i="1"/>
  <c r="Q34" i="1" s="1"/>
  <c r="N34" i="1"/>
  <c r="K34" i="1"/>
  <c r="J34" i="1"/>
  <c r="L34" i="1" s="1"/>
  <c r="H34" i="1"/>
  <c r="G34" i="1"/>
  <c r="I34" i="1" s="1"/>
  <c r="F34" i="1"/>
  <c r="C34" i="1"/>
  <c r="B34" i="1"/>
  <c r="AU33" i="1"/>
  <c r="AS33" i="1"/>
  <c r="AQ33" i="1"/>
  <c r="AR33" i="1" s="1"/>
  <c r="AO33" i="1"/>
  <c r="AN33" i="1"/>
  <c r="AM33" i="1"/>
  <c r="AI33" i="1"/>
  <c r="AK33" i="1" s="1"/>
  <c r="AE33" i="1"/>
  <c r="AG33" i="1" s="1"/>
  <c r="AC33" i="1"/>
  <c r="AB33" i="1"/>
  <c r="AA33" i="1"/>
  <c r="Y33" i="1"/>
  <c r="X33" i="1"/>
  <c r="W33" i="1"/>
  <c r="U33" i="1"/>
  <c r="T33" i="1"/>
  <c r="S33" i="1"/>
  <c r="O33" i="1"/>
  <c r="Q33" i="1" s="1"/>
  <c r="N33" i="1"/>
  <c r="K33" i="1"/>
  <c r="M33" i="1" s="1"/>
  <c r="J33" i="1"/>
  <c r="G33" i="1"/>
  <c r="G35" i="1" s="1"/>
  <c r="F33" i="1"/>
  <c r="D33" i="1"/>
  <c r="C33" i="1"/>
  <c r="E33" i="1" s="1"/>
  <c r="AU32" i="1"/>
  <c r="AV32" i="1" s="1"/>
  <c r="AS32" i="1"/>
  <c r="AR32" i="1"/>
  <c r="AQ32" i="1"/>
  <c r="AN32" i="1"/>
  <c r="AM32" i="1"/>
  <c r="AO32" i="1" s="1"/>
  <c r="AI32" i="1"/>
  <c r="AK32" i="1" s="1"/>
  <c r="AE32" i="1"/>
  <c r="AD32" i="1"/>
  <c r="AA32" i="1"/>
  <c r="AC32" i="1" s="1"/>
  <c r="Z32" i="1"/>
  <c r="W32" i="1"/>
  <c r="V32" i="1"/>
  <c r="S32" i="1"/>
  <c r="U32" i="1" s="1"/>
  <c r="R32" i="1"/>
  <c r="O32" i="1"/>
  <c r="N32" i="1"/>
  <c r="M32" i="1"/>
  <c r="K32" i="1"/>
  <c r="K35" i="1" s="1"/>
  <c r="M35" i="1" s="1"/>
  <c r="J32" i="1"/>
  <c r="G32" i="1"/>
  <c r="F32" i="1"/>
  <c r="C32" i="1"/>
  <c r="C35" i="1" s="1"/>
  <c r="B32" i="1"/>
  <c r="D32" i="1" s="1"/>
  <c r="AW31" i="1"/>
  <c r="AU31" i="1"/>
  <c r="AV31" i="1" s="1"/>
  <c r="AS31" i="1"/>
  <c r="AR31" i="1"/>
  <c r="AQ31" i="1"/>
  <c r="AM31" i="1"/>
  <c r="AO31" i="1" s="1"/>
  <c r="AJ31" i="1"/>
  <c r="AI31" i="1"/>
  <c r="AK31" i="1" s="1"/>
  <c r="AG31" i="1"/>
  <c r="AF31" i="1"/>
  <c r="AE31" i="1"/>
  <c r="AC31" i="1"/>
  <c r="AB31" i="1"/>
  <c r="AA31" i="1"/>
  <c r="Z31" i="1"/>
  <c r="Z35" i="1" s="1"/>
  <c r="Y31" i="1"/>
  <c r="X31" i="1"/>
  <c r="W31" i="1"/>
  <c r="V31" i="1"/>
  <c r="U31" i="1"/>
  <c r="T31" i="1"/>
  <c r="S31" i="1"/>
  <c r="R31" i="1"/>
  <c r="R35" i="1" s="1"/>
  <c r="Q31" i="1"/>
  <c r="P31" i="1"/>
  <c r="O31" i="1"/>
  <c r="N31" i="1"/>
  <c r="M31" i="1"/>
  <c r="L31" i="1"/>
  <c r="K31" i="1"/>
  <c r="J31" i="1"/>
  <c r="J35" i="1" s="1"/>
  <c r="I31" i="1"/>
  <c r="H31" i="1"/>
  <c r="G31" i="1"/>
  <c r="F31" i="1"/>
  <c r="E31" i="1"/>
  <c r="D31" i="1"/>
  <c r="C31" i="1"/>
  <c r="AY31" i="1" s="1"/>
  <c r="B31" i="1"/>
  <c r="AX31" i="1" s="1"/>
  <c r="AZ31" i="1" s="1"/>
  <c r="BA30" i="1"/>
  <c r="AZ30" i="1"/>
  <c r="AY30" i="1"/>
  <c r="AX30" i="1"/>
  <c r="AW30" i="1"/>
  <c r="AV30" i="1"/>
  <c r="AS30" i="1"/>
  <c r="AR30" i="1"/>
  <c r="AO30" i="1"/>
  <c r="AN30" i="1"/>
  <c r="AK30" i="1"/>
  <c r="AJ30" i="1"/>
  <c r="AG30" i="1"/>
  <c r="AF30" i="1"/>
  <c r="AC30" i="1"/>
  <c r="AB30" i="1"/>
  <c r="Y30" i="1"/>
  <c r="X30" i="1"/>
  <c r="U30" i="1"/>
  <c r="T30" i="1"/>
  <c r="Q30" i="1"/>
  <c r="P30" i="1"/>
  <c r="M30" i="1"/>
  <c r="L30" i="1"/>
  <c r="I30" i="1"/>
  <c r="H30" i="1"/>
  <c r="E30" i="1"/>
  <c r="D30" i="1"/>
  <c r="AX29" i="1"/>
  <c r="AW29" i="1"/>
  <c r="AV29" i="1"/>
  <c r="AU29" i="1"/>
  <c r="AQ29" i="1"/>
  <c r="AS29" i="1" s="1"/>
  <c r="AM29" i="1"/>
  <c r="AO29" i="1" s="1"/>
  <c r="AK29" i="1"/>
  <c r="AJ29" i="1"/>
  <c r="AI29" i="1"/>
  <c r="AG29" i="1"/>
  <c r="AF29" i="1"/>
  <c r="AE29" i="1"/>
  <c r="AA29" i="1"/>
  <c r="AB29" i="1" s="1"/>
  <c r="W29" i="1"/>
  <c r="U29" i="1"/>
  <c r="S29" i="1"/>
  <c r="T29" i="1" s="1"/>
  <c r="Q29" i="1"/>
  <c r="P29" i="1"/>
  <c r="O29" i="1"/>
  <c r="K29" i="1"/>
  <c r="M29" i="1" s="1"/>
  <c r="G29" i="1"/>
  <c r="E29" i="1"/>
  <c r="D29" i="1"/>
  <c r="C29" i="1"/>
  <c r="AX28" i="1"/>
  <c r="AW28" i="1"/>
  <c r="AV28" i="1"/>
  <c r="AU28" i="1"/>
  <c r="AQ28" i="1"/>
  <c r="AS28" i="1" s="1"/>
  <c r="AM28" i="1"/>
  <c r="AO28" i="1" s="1"/>
  <c r="AK28" i="1"/>
  <c r="AJ28" i="1"/>
  <c r="AI28" i="1"/>
  <c r="AE28" i="1"/>
  <c r="AD28" i="1"/>
  <c r="AG28" i="1" s="1"/>
  <c r="AC28" i="1"/>
  <c r="AB28" i="1"/>
  <c r="AA28" i="1"/>
  <c r="Z28" i="1"/>
  <c r="W28" i="1"/>
  <c r="V28" i="1"/>
  <c r="Y28" i="1" s="1"/>
  <c r="U28" i="1"/>
  <c r="T28" i="1"/>
  <c r="S28" i="1"/>
  <c r="R28" i="1"/>
  <c r="O28" i="1"/>
  <c r="N28" i="1"/>
  <c r="Q28" i="1" s="1"/>
  <c r="M28" i="1"/>
  <c r="L28" i="1"/>
  <c r="K28" i="1"/>
  <c r="J28" i="1"/>
  <c r="G28" i="1"/>
  <c r="F28" i="1"/>
  <c r="I28" i="1" s="1"/>
  <c r="E28" i="1"/>
  <c r="D28" i="1"/>
  <c r="C28" i="1"/>
  <c r="B28" i="1"/>
  <c r="AX27" i="1"/>
  <c r="AW27" i="1"/>
  <c r="AV27" i="1"/>
  <c r="AU27" i="1"/>
  <c r="AQ27" i="1"/>
  <c r="AS27" i="1" s="1"/>
  <c r="AM27" i="1"/>
  <c r="AO27" i="1" s="1"/>
  <c r="AK27" i="1"/>
  <c r="AJ27" i="1"/>
  <c r="AI27" i="1"/>
  <c r="AG27" i="1"/>
  <c r="AF27" i="1"/>
  <c r="AE27" i="1"/>
  <c r="AA27" i="1"/>
  <c r="AC27" i="1" s="1"/>
  <c r="W27" i="1"/>
  <c r="S27" i="1"/>
  <c r="T27" i="1" s="1"/>
  <c r="Q27" i="1"/>
  <c r="P27" i="1"/>
  <c r="O27" i="1"/>
  <c r="K27" i="1"/>
  <c r="M27" i="1" s="1"/>
  <c r="G27" i="1"/>
  <c r="I27" i="1" s="1"/>
  <c r="E27" i="1"/>
  <c r="D27" i="1"/>
  <c r="C27" i="1"/>
  <c r="AX26" i="1"/>
  <c r="AZ26" i="1" s="1"/>
  <c r="AW26" i="1"/>
  <c r="AV26" i="1"/>
  <c r="AU26" i="1"/>
  <c r="AQ26" i="1"/>
  <c r="AS26" i="1" s="1"/>
  <c r="AM26" i="1"/>
  <c r="AO26" i="1" s="1"/>
  <c r="AK26" i="1"/>
  <c r="AJ26" i="1"/>
  <c r="AI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AY26" i="1" s="1"/>
  <c r="BA26" i="1" s="1"/>
  <c r="B26" i="1"/>
  <c r="AX25" i="1"/>
  <c r="AW25" i="1"/>
  <c r="AV25" i="1"/>
  <c r="AU25" i="1"/>
  <c r="AQ25" i="1"/>
  <c r="AS25" i="1" s="1"/>
  <c r="AN25" i="1"/>
  <c r="AM25" i="1"/>
  <c r="AO25" i="1" s="1"/>
  <c r="AK25" i="1"/>
  <c r="AJ25" i="1"/>
  <c r="AI25" i="1"/>
  <c r="AG25" i="1"/>
  <c r="AF25" i="1"/>
  <c r="AE25" i="1"/>
  <c r="AC25" i="1"/>
  <c r="AA25" i="1"/>
  <c r="AB25" i="1" s="1"/>
  <c r="W25" i="1"/>
  <c r="S25" i="1"/>
  <c r="T25" i="1" s="1"/>
  <c r="Q25" i="1"/>
  <c r="P25" i="1"/>
  <c r="O25" i="1"/>
  <c r="K25" i="1"/>
  <c r="M25" i="1" s="1"/>
  <c r="J25" i="1"/>
  <c r="H25" i="1"/>
  <c r="G25" i="1"/>
  <c r="I25" i="1" s="1"/>
  <c r="C25" i="1"/>
  <c r="BA24" i="1"/>
  <c r="AY24" i="1"/>
  <c r="AW24" i="1"/>
  <c r="AV24" i="1"/>
  <c r="AS24" i="1"/>
  <c r="AR24" i="1"/>
  <c r="AO24" i="1"/>
  <c r="AN24" i="1"/>
  <c r="AK24" i="1"/>
  <c r="AJ24" i="1"/>
  <c r="AH24" i="1"/>
  <c r="AH60" i="1" s="1"/>
  <c r="AG24" i="1"/>
  <c r="AF24" i="1"/>
  <c r="AC24" i="1"/>
  <c r="AB24" i="1"/>
  <c r="Y24" i="1"/>
  <c r="X24" i="1"/>
  <c r="U24" i="1"/>
  <c r="T24" i="1"/>
  <c r="Q24" i="1"/>
  <c r="P24" i="1"/>
  <c r="M24" i="1"/>
  <c r="L24" i="1"/>
  <c r="I24" i="1"/>
  <c r="F24" i="1"/>
  <c r="H24" i="1" s="1"/>
  <c r="E24" i="1"/>
  <c r="D24" i="1"/>
  <c r="AX23" i="1"/>
  <c r="AW23" i="1"/>
  <c r="AU23" i="1"/>
  <c r="AV23" i="1" s="1"/>
  <c r="AQ23" i="1"/>
  <c r="AR23" i="1" s="1"/>
  <c r="AM23" i="1"/>
  <c r="AN23" i="1" s="1"/>
  <c r="AK23" i="1"/>
  <c r="AJ23" i="1"/>
  <c r="AI23" i="1"/>
  <c r="AF23" i="1"/>
  <c r="AE23" i="1"/>
  <c r="AG23" i="1" s="1"/>
  <c r="AA23" i="1"/>
  <c r="AC23" i="1" s="1"/>
  <c r="Y23" i="1"/>
  <c r="X23" i="1"/>
  <c r="W23" i="1"/>
  <c r="U23" i="1"/>
  <c r="T23" i="1"/>
  <c r="S23" i="1"/>
  <c r="O23" i="1"/>
  <c r="Q23" i="1" s="1"/>
  <c r="K23" i="1"/>
  <c r="L23" i="1" s="1"/>
  <c r="G23" i="1"/>
  <c r="H23" i="1" s="1"/>
  <c r="C23" i="1"/>
  <c r="E23" i="1" s="1"/>
  <c r="AW22" i="1"/>
  <c r="AU22" i="1"/>
  <c r="AV22" i="1" s="1"/>
  <c r="AQ22" i="1"/>
  <c r="AR22" i="1" s="1"/>
  <c r="AM22" i="1"/>
  <c r="AN22" i="1" s="1"/>
  <c r="AK22" i="1"/>
  <c r="AJ22" i="1"/>
  <c r="AI22" i="1"/>
  <c r="AF22" i="1"/>
  <c r="AE22" i="1"/>
  <c r="AG22" i="1" s="1"/>
  <c r="AA22" i="1"/>
  <c r="AC22" i="1" s="1"/>
  <c r="Y22" i="1"/>
  <c r="X22" i="1"/>
  <c r="W22" i="1"/>
  <c r="U22" i="1"/>
  <c r="T22" i="1"/>
  <c r="S22" i="1"/>
  <c r="O22" i="1"/>
  <c r="Q22" i="1" s="1"/>
  <c r="K22" i="1"/>
  <c r="L22" i="1" s="1"/>
  <c r="G22" i="1"/>
  <c r="H22" i="1" s="1"/>
  <c r="C22" i="1"/>
  <c r="E22" i="1" s="1"/>
  <c r="B22" i="1"/>
  <c r="AX22" i="1" s="1"/>
  <c r="AW21" i="1"/>
  <c r="AU21" i="1"/>
  <c r="AV21" i="1" s="1"/>
  <c r="AQ21" i="1"/>
  <c r="AS21" i="1" s="1"/>
  <c r="AN21" i="1"/>
  <c r="AM21" i="1"/>
  <c r="AO21" i="1" s="1"/>
  <c r="AK21" i="1"/>
  <c r="AJ21" i="1"/>
  <c r="AI21" i="1"/>
  <c r="AG21" i="1"/>
  <c r="AF21" i="1"/>
  <c r="AE21" i="1"/>
  <c r="AC21" i="1"/>
  <c r="AB21" i="1"/>
  <c r="AA21" i="1"/>
  <c r="Z21" i="1"/>
  <c r="W21" i="1"/>
  <c r="Y21" i="1" s="1"/>
  <c r="V21" i="1"/>
  <c r="S21" i="1"/>
  <c r="R21" i="1"/>
  <c r="P21" i="1"/>
  <c r="O21" i="1"/>
  <c r="Q21" i="1" s="1"/>
  <c r="N21" i="1"/>
  <c r="K21" i="1"/>
  <c r="J21" i="1"/>
  <c r="G21" i="1"/>
  <c r="I21" i="1" s="1"/>
  <c r="F21" i="1"/>
  <c r="C21" i="1"/>
  <c r="AY20" i="1"/>
  <c r="BA20" i="1" s="1"/>
  <c r="AX20" i="1"/>
  <c r="AW20" i="1"/>
  <c r="AU20" i="1"/>
  <c r="AV20" i="1" s="1"/>
  <c r="AS20" i="1"/>
  <c r="AR20" i="1"/>
  <c r="AQ20" i="1"/>
  <c r="AO20" i="1"/>
  <c r="AM20" i="1"/>
  <c r="AN20" i="1" s="1"/>
  <c r="AI20" i="1"/>
  <c r="AK20" i="1" s="1"/>
  <c r="AE20" i="1"/>
  <c r="AF20" i="1" s="1"/>
  <c r="AC20" i="1"/>
  <c r="AA20" i="1"/>
  <c r="AB20" i="1" s="1"/>
  <c r="W20" i="1"/>
  <c r="Y20" i="1" s="1"/>
  <c r="S20" i="1"/>
  <c r="U20" i="1" s="1"/>
  <c r="Q20" i="1"/>
  <c r="O20" i="1"/>
  <c r="P20" i="1" s="1"/>
  <c r="K20" i="1"/>
  <c r="M20" i="1" s="1"/>
  <c r="G20" i="1"/>
  <c r="E20" i="1"/>
  <c r="D20" i="1"/>
  <c r="C20" i="1"/>
  <c r="AW19" i="1"/>
  <c r="AU19" i="1"/>
  <c r="AQ19" i="1"/>
  <c r="AM19" i="1"/>
  <c r="AK19" i="1"/>
  <c r="AJ19" i="1"/>
  <c r="AI19" i="1"/>
  <c r="AE19" i="1"/>
  <c r="AC19" i="1"/>
  <c r="AB19" i="1"/>
  <c r="AA19" i="1"/>
  <c r="Z19" i="1"/>
  <c r="W19" i="1"/>
  <c r="V19" i="1"/>
  <c r="U19" i="1"/>
  <c r="T19" i="1"/>
  <c r="S19" i="1"/>
  <c r="Q19" i="1"/>
  <c r="O19" i="1"/>
  <c r="N19" i="1"/>
  <c r="K19" i="1"/>
  <c r="J19" i="1"/>
  <c r="I19" i="1"/>
  <c r="G19" i="1"/>
  <c r="C19" i="1"/>
  <c r="E19" i="1" s="1"/>
  <c r="B19" i="1"/>
  <c r="BA15" i="1"/>
  <c r="AY15" i="1"/>
  <c r="AW15" i="1"/>
  <c r="AV15" i="1"/>
  <c r="AS15" i="1"/>
  <c r="AR15" i="1"/>
  <c r="AO15" i="1"/>
  <c r="AN15" i="1"/>
  <c r="AK15" i="1"/>
  <c r="AJ15" i="1"/>
  <c r="AG15" i="1"/>
  <c r="AF15" i="1"/>
  <c r="AC15" i="1"/>
  <c r="AB15" i="1"/>
  <c r="Z15" i="1"/>
  <c r="Y15" i="1"/>
  <c r="V15" i="1"/>
  <c r="X15" i="1" s="1"/>
  <c r="U15" i="1"/>
  <c r="R15" i="1"/>
  <c r="T15" i="1" s="1"/>
  <c r="Q15" i="1"/>
  <c r="P15" i="1"/>
  <c r="N15" i="1"/>
  <c r="M15" i="1"/>
  <c r="J15" i="1"/>
  <c r="L15" i="1" s="1"/>
  <c r="I15" i="1"/>
  <c r="F15" i="1"/>
  <c r="AX15" i="1" s="1"/>
  <c r="AZ15" i="1" s="1"/>
  <c r="E15" i="1"/>
  <c r="D15" i="1"/>
  <c r="B15" i="1"/>
  <c r="AP14" i="1"/>
  <c r="AP16" i="1" s="1"/>
  <c r="J14" i="1"/>
  <c r="B14" i="1"/>
  <c r="AU13" i="1"/>
  <c r="AW13" i="1" s="1"/>
  <c r="AT13" i="1"/>
  <c r="AV13" i="1" s="1"/>
  <c r="AS13" i="1"/>
  <c r="AR13" i="1"/>
  <c r="AQ13" i="1"/>
  <c r="AP13" i="1"/>
  <c r="AM13" i="1"/>
  <c r="AO13" i="1" s="1"/>
  <c r="AL13" i="1"/>
  <c r="AN13" i="1" s="1"/>
  <c r="AK13" i="1"/>
  <c r="AJ13" i="1"/>
  <c r="AI13" i="1"/>
  <c r="AH13" i="1"/>
  <c r="AE13" i="1"/>
  <c r="AG13" i="1" s="1"/>
  <c r="AD13" i="1"/>
  <c r="AF13" i="1" s="1"/>
  <c r="AC13" i="1"/>
  <c r="AB13" i="1"/>
  <c r="AA13" i="1"/>
  <c r="Z13" i="1"/>
  <c r="W13" i="1"/>
  <c r="V13" i="1"/>
  <c r="X13" i="1" s="1"/>
  <c r="U13" i="1"/>
  <c r="T13" i="1"/>
  <c r="S13" i="1"/>
  <c r="R13" i="1"/>
  <c r="O13" i="1"/>
  <c r="Q13" i="1" s="1"/>
  <c r="N13" i="1"/>
  <c r="P13" i="1" s="1"/>
  <c r="M13" i="1"/>
  <c r="L13" i="1"/>
  <c r="K13" i="1"/>
  <c r="J13" i="1"/>
  <c r="G13" i="1"/>
  <c r="I13" i="1" s="1"/>
  <c r="F13" i="1"/>
  <c r="H13" i="1" s="1"/>
  <c r="E13" i="1"/>
  <c r="D13" i="1"/>
  <c r="C13" i="1"/>
  <c r="AY13" i="1" s="1"/>
  <c r="B13" i="1"/>
  <c r="AX13" i="1" s="1"/>
  <c r="AZ13" i="1" s="1"/>
  <c r="AW12" i="1"/>
  <c r="AT12" i="1"/>
  <c r="AT14" i="1" s="1"/>
  <c r="AP12" i="1"/>
  <c r="AO12" i="1"/>
  <c r="AN12" i="1"/>
  <c r="AM12" i="1"/>
  <c r="AM14" i="1" s="1"/>
  <c r="AM16" i="1" s="1"/>
  <c r="AL12" i="1"/>
  <c r="AL14" i="1" s="1"/>
  <c r="AH12" i="1"/>
  <c r="AG12" i="1"/>
  <c r="Z12" i="1"/>
  <c r="Z14" i="1" s="1"/>
  <c r="V12" i="1"/>
  <c r="S12" i="1"/>
  <c r="U12" i="1" s="1"/>
  <c r="R12" i="1"/>
  <c r="T12" i="1" s="1"/>
  <c r="K12" i="1"/>
  <c r="M12" i="1" s="1"/>
  <c r="J12" i="1"/>
  <c r="L12" i="1" s="1"/>
  <c r="B12" i="1"/>
  <c r="AU11" i="1"/>
  <c r="AU12" i="1" s="1"/>
  <c r="AV12" i="1" s="1"/>
  <c r="AS11" i="1"/>
  <c r="AR11" i="1"/>
  <c r="AQ11" i="1"/>
  <c r="AQ12" i="1" s="1"/>
  <c r="AS12" i="1" s="1"/>
  <c r="AO11" i="1"/>
  <c r="AM11" i="1"/>
  <c r="AN11" i="1" s="1"/>
  <c r="AI11" i="1"/>
  <c r="AG11" i="1"/>
  <c r="AF11" i="1"/>
  <c r="AE11" i="1"/>
  <c r="AE12" i="1" s="1"/>
  <c r="AD11" i="1"/>
  <c r="AD12" i="1" s="1"/>
  <c r="AA11" i="1"/>
  <c r="AC11" i="1" s="1"/>
  <c r="Y11" i="1"/>
  <c r="X11" i="1"/>
  <c r="W11" i="1"/>
  <c r="W12" i="1" s="1"/>
  <c r="X12" i="1" s="1"/>
  <c r="U11" i="1"/>
  <c r="S11" i="1"/>
  <c r="T11" i="1" s="1"/>
  <c r="O11" i="1"/>
  <c r="N11" i="1"/>
  <c r="M11" i="1"/>
  <c r="L11" i="1"/>
  <c r="K11" i="1"/>
  <c r="G11" i="1"/>
  <c r="G12" i="1" s="1"/>
  <c r="F11" i="1"/>
  <c r="E11" i="1"/>
  <c r="D11" i="1"/>
  <c r="C11" i="1"/>
  <c r="AY11" i="1" s="1"/>
  <c r="AY10" i="1"/>
  <c r="BA10" i="1" s="1"/>
  <c r="AX10" i="1"/>
  <c r="AZ10" i="1" s="1"/>
  <c r="AW10" i="1"/>
  <c r="AV10" i="1"/>
  <c r="AS10" i="1"/>
  <c r="AR10" i="1"/>
  <c r="AO10" i="1"/>
  <c r="AN10" i="1"/>
  <c r="AK10" i="1"/>
  <c r="AJ10" i="1"/>
  <c r="AG10" i="1"/>
  <c r="AF10" i="1"/>
  <c r="AC10" i="1"/>
  <c r="AB10" i="1"/>
  <c r="Y10" i="1"/>
  <c r="X10" i="1"/>
  <c r="U10" i="1"/>
  <c r="T10" i="1"/>
  <c r="Q10" i="1"/>
  <c r="P10" i="1"/>
  <c r="M10" i="1"/>
  <c r="L10" i="1"/>
  <c r="I10" i="1"/>
  <c r="H10" i="1"/>
  <c r="E10" i="1"/>
  <c r="D10" i="1"/>
  <c r="AU9" i="1"/>
  <c r="AU14" i="1" s="1"/>
  <c r="AU16" i="1" s="1"/>
  <c r="AQ9" i="1"/>
  <c r="AO9" i="1"/>
  <c r="AN9" i="1"/>
  <c r="AM9" i="1"/>
  <c r="AI9" i="1"/>
  <c r="AJ9" i="1" s="1"/>
  <c r="AG9" i="1"/>
  <c r="AF9" i="1"/>
  <c r="AE9" i="1"/>
  <c r="AC9" i="1"/>
  <c r="AA9" i="1"/>
  <c r="Z9" i="1"/>
  <c r="AB9" i="1" s="1"/>
  <c r="W9" i="1"/>
  <c r="V9" i="1"/>
  <c r="V14" i="1" s="1"/>
  <c r="U9" i="1"/>
  <c r="S9" i="1"/>
  <c r="R9" i="1"/>
  <c r="T9" i="1" s="1"/>
  <c r="O9" i="1"/>
  <c r="N9" i="1"/>
  <c r="M9" i="1"/>
  <c r="K9" i="1"/>
  <c r="J9" i="1"/>
  <c r="L9" i="1" s="1"/>
  <c r="G9" i="1"/>
  <c r="F9" i="1"/>
  <c r="AX9" i="1" s="1"/>
  <c r="E9" i="1"/>
  <c r="C9" i="1"/>
  <c r="B9" i="1"/>
  <c r="D9" i="1" s="1"/>
  <c r="AY8" i="1"/>
  <c r="BA8" i="1" s="1"/>
  <c r="AX8" i="1"/>
  <c r="AW8" i="1"/>
  <c r="AV8" i="1"/>
  <c r="AS8" i="1"/>
  <c r="AR8" i="1"/>
  <c r="AO8" i="1"/>
  <c r="AN8" i="1"/>
  <c r="AK8" i="1"/>
  <c r="AJ8" i="1"/>
  <c r="AG8" i="1"/>
  <c r="AF8" i="1"/>
  <c r="AC8" i="1"/>
  <c r="AB8" i="1"/>
  <c r="Y8" i="1"/>
  <c r="X8" i="1"/>
  <c r="U8" i="1"/>
  <c r="T8" i="1"/>
  <c r="Q8" i="1"/>
  <c r="P8" i="1"/>
  <c r="M8" i="1"/>
  <c r="L8" i="1"/>
  <c r="I8" i="1"/>
  <c r="H8" i="1"/>
  <c r="E8" i="1"/>
  <c r="D8" i="1"/>
  <c r="AP17" i="1" l="1"/>
  <c r="Z16" i="1"/>
  <c r="Q9" i="1"/>
  <c r="BA37" i="1"/>
  <c r="N12" i="1"/>
  <c r="P11" i="1"/>
  <c r="AF12" i="1"/>
  <c r="AD14" i="1"/>
  <c r="AN14" i="1"/>
  <c r="AL16" i="1"/>
  <c r="B16" i="1"/>
  <c r="AY9" i="1"/>
  <c r="BA9" i="1" s="1"/>
  <c r="G14" i="1"/>
  <c r="I9" i="1"/>
  <c r="AS9" i="1"/>
  <c r="AQ14" i="1"/>
  <c r="O12" i="1"/>
  <c r="Q12" i="1" s="1"/>
  <c r="Q11" i="1"/>
  <c r="Y13" i="1"/>
  <c r="R14" i="1"/>
  <c r="AX21" i="1"/>
  <c r="L21" i="1"/>
  <c r="X40" i="1"/>
  <c r="T21" i="1"/>
  <c r="U21" i="1"/>
  <c r="AZ28" i="1"/>
  <c r="P9" i="1"/>
  <c r="AW14" i="1"/>
  <c r="H40" i="1"/>
  <c r="AO16" i="1"/>
  <c r="AM17" i="1"/>
  <c r="H9" i="1"/>
  <c r="AE14" i="1"/>
  <c r="AR9" i="1"/>
  <c r="J16" i="1"/>
  <c r="M21" i="1"/>
  <c r="AR14" i="1"/>
  <c r="L19" i="1"/>
  <c r="M19" i="1"/>
  <c r="H20" i="1"/>
  <c r="I20" i="1"/>
  <c r="AU17" i="1"/>
  <c r="F12" i="1"/>
  <c r="AX11" i="1"/>
  <c r="H11" i="1"/>
  <c r="AZ8" i="1"/>
  <c r="X14" i="1"/>
  <c r="V16" i="1"/>
  <c r="AK11" i="1"/>
  <c r="AI12" i="1"/>
  <c r="AK12" i="1" s="1"/>
  <c r="AJ11" i="1"/>
  <c r="Y12" i="1"/>
  <c r="AR12" i="1"/>
  <c r="BA13" i="1"/>
  <c r="AN19" i="1"/>
  <c r="AO19" i="1"/>
  <c r="L35" i="1"/>
  <c r="AJ12" i="1"/>
  <c r="W14" i="1"/>
  <c r="Y9" i="1"/>
  <c r="AB12" i="1"/>
  <c r="AV14" i="1"/>
  <c r="AT16" i="1"/>
  <c r="AH14" i="1"/>
  <c r="N14" i="1"/>
  <c r="X9" i="1"/>
  <c r="AO14" i="1"/>
  <c r="H15" i="1"/>
  <c r="AX19" i="1"/>
  <c r="AZ19" i="1" s="1"/>
  <c r="D19" i="1"/>
  <c r="AZ25" i="1"/>
  <c r="C12" i="1"/>
  <c r="D12" i="1" s="1"/>
  <c r="AA12" i="1"/>
  <c r="K14" i="1"/>
  <c r="S14" i="1"/>
  <c r="AI14" i="1"/>
  <c r="AY19" i="1"/>
  <c r="T20" i="1"/>
  <c r="AG20" i="1"/>
  <c r="AY21" i="1"/>
  <c r="BA21" i="1" s="1"/>
  <c r="AY23" i="1"/>
  <c r="AR25" i="1"/>
  <c r="H27" i="1"/>
  <c r="X27" i="1"/>
  <c r="Y27" i="1"/>
  <c r="AN28" i="1"/>
  <c r="AC29" i="1"/>
  <c r="AN29" i="1"/>
  <c r="E32" i="1"/>
  <c r="T32" i="1"/>
  <c r="AD35" i="1"/>
  <c r="AG32" i="1"/>
  <c r="AF32" i="1"/>
  <c r="AY33" i="1"/>
  <c r="BA33" i="1" s="1"/>
  <c r="M34" i="1"/>
  <c r="X34" i="1"/>
  <c r="B35" i="1"/>
  <c r="AJ35" i="1"/>
  <c r="AU35" i="1"/>
  <c r="T37" i="1"/>
  <c r="AE40" i="1"/>
  <c r="AG40" i="1" s="1"/>
  <c r="AG37" i="1"/>
  <c r="AV37" i="1"/>
  <c r="AU40" i="1"/>
  <c r="AW37" i="1"/>
  <c r="X38" i="1"/>
  <c r="Y38" i="1"/>
  <c r="BA51" i="1"/>
  <c r="AB11" i="1"/>
  <c r="AV11" i="1"/>
  <c r="AF19" i="1"/>
  <c r="D21" i="1"/>
  <c r="AR21" i="1"/>
  <c r="P22" i="1"/>
  <c r="AO22" i="1"/>
  <c r="P23" i="1"/>
  <c r="AO23" i="1"/>
  <c r="F35" i="1"/>
  <c r="H35" i="1" s="1"/>
  <c r="I32" i="1"/>
  <c r="H32" i="1"/>
  <c r="AJ33" i="1"/>
  <c r="S35" i="1"/>
  <c r="U35" i="1" s="1"/>
  <c r="AI35" i="1"/>
  <c r="AK35" i="1" s="1"/>
  <c r="G40" i="1"/>
  <c r="I40" i="1" s="1"/>
  <c r="I37" i="1"/>
  <c r="S40" i="1"/>
  <c r="U40" i="1" s="1"/>
  <c r="U37" i="1"/>
  <c r="AM40" i="1"/>
  <c r="AO38" i="1"/>
  <c r="AN38" i="1"/>
  <c r="AO58" i="1"/>
  <c r="AN58" i="1"/>
  <c r="AG55" i="1"/>
  <c r="AF55" i="1"/>
  <c r="AK9" i="1"/>
  <c r="AV9" i="1"/>
  <c r="I11" i="1"/>
  <c r="AW11" i="1"/>
  <c r="G60" i="1"/>
  <c r="X19" i="1"/>
  <c r="AG19" i="1"/>
  <c r="AR19" i="1"/>
  <c r="L20" i="1"/>
  <c r="X20" i="1"/>
  <c r="AJ20" i="1"/>
  <c r="E21" i="1"/>
  <c r="D22" i="1"/>
  <c r="AB22" i="1"/>
  <c r="D23" i="1"/>
  <c r="AB23" i="1"/>
  <c r="U25" i="1"/>
  <c r="L27" i="1"/>
  <c r="AB27" i="1"/>
  <c r="H28" i="1"/>
  <c r="P28" i="1"/>
  <c r="X28" i="1"/>
  <c r="AF28" i="1"/>
  <c r="AR28" i="1"/>
  <c r="AR29" i="1"/>
  <c r="AW32" i="1"/>
  <c r="L33" i="1"/>
  <c r="D34" i="1"/>
  <c r="AX34" i="1"/>
  <c r="AC34" i="1"/>
  <c r="W35" i="1"/>
  <c r="H37" i="1"/>
  <c r="AR38" i="1"/>
  <c r="AS38" i="1"/>
  <c r="AY39" i="1"/>
  <c r="I39" i="1"/>
  <c r="H39" i="1"/>
  <c r="X42" i="1"/>
  <c r="AF74" i="1"/>
  <c r="AW9" i="1"/>
  <c r="H19" i="1"/>
  <c r="P19" i="1"/>
  <c r="Y19" i="1"/>
  <c r="AS19" i="1"/>
  <c r="F60" i="1"/>
  <c r="H60" i="1" s="1"/>
  <c r="X21" i="1"/>
  <c r="AS22" i="1"/>
  <c r="AS23" i="1"/>
  <c r="X25" i="1"/>
  <c r="Y25" i="1"/>
  <c r="AD60" i="1"/>
  <c r="AN26" i="1"/>
  <c r="AN27" i="1"/>
  <c r="L32" i="1"/>
  <c r="V35" i="1"/>
  <c r="X35" i="1" s="1"/>
  <c r="Y32" i="1"/>
  <c r="X32" i="1"/>
  <c r="AJ32" i="1"/>
  <c r="AX32" i="1"/>
  <c r="P33" i="1"/>
  <c r="E34" i="1"/>
  <c r="P34" i="1"/>
  <c r="AM35" i="1"/>
  <c r="L37" i="1"/>
  <c r="W40" i="1"/>
  <c r="Y40" i="1" s="1"/>
  <c r="Y37" i="1"/>
  <c r="D38" i="1"/>
  <c r="AB38" i="1"/>
  <c r="L39" i="1"/>
  <c r="M39" i="1"/>
  <c r="P43" i="1"/>
  <c r="AF44" i="1"/>
  <c r="AN52" i="1"/>
  <c r="AU60" i="1"/>
  <c r="AW60" i="1" s="1"/>
  <c r="AX24" i="1"/>
  <c r="AZ24" i="1" s="1"/>
  <c r="AY27" i="1"/>
  <c r="BA27" i="1" s="1"/>
  <c r="AY29" i="1"/>
  <c r="BA29" i="1" s="1"/>
  <c r="I29" i="1"/>
  <c r="T34" i="1"/>
  <c r="K40" i="1"/>
  <c r="M37" i="1"/>
  <c r="AY38" i="1"/>
  <c r="BA38" i="1" s="1"/>
  <c r="E38" i="1"/>
  <c r="AO39" i="1"/>
  <c r="AN39" i="1"/>
  <c r="AX44" i="1"/>
  <c r="L46" i="1"/>
  <c r="J52" i="1"/>
  <c r="L52" i="1" s="1"/>
  <c r="V52" i="1"/>
  <c r="X52" i="1" s="1"/>
  <c r="X46" i="1"/>
  <c r="AW58" i="1"/>
  <c r="AV58" i="1"/>
  <c r="S60" i="1"/>
  <c r="AV19" i="1"/>
  <c r="AZ20" i="1"/>
  <c r="H21" i="1"/>
  <c r="I22" i="1"/>
  <c r="I23" i="1"/>
  <c r="L25" i="1"/>
  <c r="AR26" i="1"/>
  <c r="AR27" i="1"/>
  <c r="AY28" i="1"/>
  <c r="BA28" i="1" s="1"/>
  <c r="H29" i="1"/>
  <c r="X29" i="1"/>
  <c r="Y29" i="1"/>
  <c r="AB32" i="1"/>
  <c r="AV34" i="1"/>
  <c r="AW34" i="1"/>
  <c r="AA35" i="1"/>
  <c r="AC35" i="1" s="1"/>
  <c r="AB37" i="1"/>
  <c r="AR39" i="1"/>
  <c r="AS39" i="1"/>
  <c r="D44" i="1"/>
  <c r="M52" i="1"/>
  <c r="BA31" i="1"/>
  <c r="N35" i="1"/>
  <c r="P35" i="1" s="1"/>
  <c r="Q32" i="1"/>
  <c r="P32" i="1"/>
  <c r="H33" i="1"/>
  <c r="AX33" i="1"/>
  <c r="AY34" i="1"/>
  <c r="BA34" i="1" s="1"/>
  <c r="Q35" i="1"/>
  <c r="AE35" i="1"/>
  <c r="AG35" i="1" s="1"/>
  <c r="D37" i="1"/>
  <c r="O40" i="1"/>
  <c r="Q37" i="1"/>
  <c r="AA40" i="1"/>
  <c r="AC40" i="1" s="1"/>
  <c r="AC37" i="1"/>
  <c r="M22" i="1"/>
  <c r="AY22" i="1"/>
  <c r="BA22" i="1" s="1"/>
  <c r="M23" i="1"/>
  <c r="D25" i="1"/>
  <c r="AY25" i="1"/>
  <c r="BA25" i="1" s="1"/>
  <c r="E25" i="1"/>
  <c r="U27" i="1"/>
  <c r="L29" i="1"/>
  <c r="AN31" i="1"/>
  <c r="AY32" i="1"/>
  <c r="BA32" i="1" s="1"/>
  <c r="I33" i="1"/>
  <c r="AF33" i="1"/>
  <c r="AV33" i="1"/>
  <c r="AW33" i="1"/>
  <c r="AJ34" i="1"/>
  <c r="C40" i="1"/>
  <c r="C60" i="1" s="1"/>
  <c r="E37" i="1"/>
  <c r="AS37" i="1"/>
  <c r="AR37" i="1"/>
  <c r="AQ40" i="1"/>
  <c r="Q44" i="1"/>
  <c r="B40" i="1"/>
  <c r="J40" i="1"/>
  <c r="L40" i="1" s="1"/>
  <c r="R40" i="1"/>
  <c r="Z40" i="1"/>
  <c r="Z60" i="1" s="1"/>
  <c r="AX46" i="1"/>
  <c r="AZ46" i="1" s="1"/>
  <c r="E50" i="1"/>
  <c r="D50" i="1"/>
  <c r="AY50" i="1"/>
  <c r="BA50" i="1" s="1"/>
  <c r="AY55" i="1"/>
  <c r="M55" i="1"/>
  <c r="L55" i="1"/>
  <c r="AC55" i="1"/>
  <c r="AB55" i="1"/>
  <c r="Z58" i="1"/>
  <c r="AR55" i="1"/>
  <c r="AS55" i="1"/>
  <c r="Q56" i="1"/>
  <c r="P56" i="1"/>
  <c r="AG56" i="1"/>
  <c r="AF56" i="1"/>
  <c r="AG57" i="1"/>
  <c r="AF57" i="1"/>
  <c r="AQ58" i="1"/>
  <c r="AS58" i="1" s="1"/>
  <c r="AL60" i="1"/>
  <c r="AV60" i="1"/>
  <c r="AX37" i="1"/>
  <c r="AZ37" i="1" s="1"/>
  <c r="AI40" i="1"/>
  <c r="AI60" i="1" s="1"/>
  <c r="AX42" i="1"/>
  <c r="AZ42" i="1" s="1"/>
  <c r="U44" i="1"/>
  <c r="N44" i="1"/>
  <c r="P44" i="1" s="1"/>
  <c r="B52" i="1"/>
  <c r="BA46" i="1"/>
  <c r="AB47" i="1"/>
  <c r="AX54" i="1"/>
  <c r="AZ54" i="1" s="1"/>
  <c r="R58" i="1"/>
  <c r="T58" i="1" s="1"/>
  <c r="T54" i="1"/>
  <c r="AJ54" i="1"/>
  <c r="AI58" i="1"/>
  <c r="AK58" i="1" s="1"/>
  <c r="AK54" i="1"/>
  <c r="AM74" i="1"/>
  <c r="AO74" i="1" s="1"/>
  <c r="AO70" i="1"/>
  <c r="Y52" i="1"/>
  <c r="U48" i="1"/>
  <c r="T48" i="1"/>
  <c r="AK48" i="1"/>
  <c r="AJ48" i="1"/>
  <c r="AR52" i="1"/>
  <c r="Y54" i="1"/>
  <c r="X54" i="1"/>
  <c r="W58" i="1"/>
  <c r="AY56" i="1"/>
  <c r="BA56" i="1" s="1"/>
  <c r="E56" i="1"/>
  <c r="D56" i="1"/>
  <c r="AY57" i="1"/>
  <c r="E57" i="1"/>
  <c r="D57" i="1"/>
  <c r="O74" i="1"/>
  <c r="Q74" i="1" s="1"/>
  <c r="Q70" i="1"/>
  <c r="AX38" i="1"/>
  <c r="AZ41" i="1"/>
  <c r="E44" i="1"/>
  <c r="AY44" i="1"/>
  <c r="BA44" i="1" s="1"/>
  <c r="AI44" i="1"/>
  <c r="AJ43" i="1"/>
  <c r="AR44" i="1"/>
  <c r="AB46" i="1"/>
  <c r="Z52" i="1"/>
  <c r="AY47" i="1"/>
  <c r="E49" i="1"/>
  <c r="AY49" i="1"/>
  <c r="BA49" i="1" s="1"/>
  <c r="D49" i="1"/>
  <c r="AV52" i="1"/>
  <c r="G58" i="1"/>
  <c r="I58" i="1" s="1"/>
  <c r="I54" i="1"/>
  <c r="H54" i="1"/>
  <c r="AX55" i="1"/>
  <c r="AZ55" i="1" s="1"/>
  <c r="I44" i="1"/>
  <c r="N52" i="1"/>
  <c r="P52" i="1" s="1"/>
  <c r="P46" i="1"/>
  <c r="AA52" i="1"/>
  <c r="AC52" i="1" s="1"/>
  <c r="H49" i="1"/>
  <c r="Q52" i="1"/>
  <c r="K58" i="1"/>
  <c r="M58" i="1" s="1"/>
  <c r="AJ58" i="1"/>
  <c r="AC50" i="1"/>
  <c r="AB50" i="1"/>
  <c r="AS50" i="1"/>
  <c r="AR50" i="1"/>
  <c r="S52" i="1"/>
  <c r="U52" i="1" s="1"/>
  <c r="AR56" i="1"/>
  <c r="AS56" i="1"/>
  <c r="AR57" i="1"/>
  <c r="AS57" i="1"/>
  <c r="H59" i="1"/>
  <c r="AX59" i="1"/>
  <c r="AZ59" i="1" s="1"/>
  <c r="AR35" i="1"/>
  <c r="AB43" i="1"/>
  <c r="AA44" i="1"/>
  <c r="AY43" i="1"/>
  <c r="BA43" i="1" s="1"/>
  <c r="J44" i="1"/>
  <c r="L44" i="1" s="1"/>
  <c r="W44" i="1"/>
  <c r="Y44" i="1" s="1"/>
  <c r="AV44" i="1"/>
  <c r="T46" i="1"/>
  <c r="R52" i="1"/>
  <c r="AE52" i="1"/>
  <c r="AG52" i="1" s="1"/>
  <c r="AG46" i="1"/>
  <c r="AF46" i="1"/>
  <c r="AW46" i="1"/>
  <c r="AV46" i="1"/>
  <c r="Y47" i="1"/>
  <c r="X47" i="1"/>
  <c r="AO47" i="1"/>
  <c r="AN47" i="1"/>
  <c r="AY48" i="1"/>
  <c r="BA48" i="1" s="1"/>
  <c r="AK49" i="1"/>
  <c r="AJ49" i="1"/>
  <c r="AF52" i="1"/>
  <c r="AS51" i="1"/>
  <c r="AR51" i="1"/>
  <c r="Q57" i="1"/>
  <c r="P57" i="1"/>
  <c r="O58" i="1"/>
  <c r="Q58" i="1" s="1"/>
  <c r="AR58" i="1"/>
  <c r="AX47" i="1"/>
  <c r="AZ47" i="1" s="1"/>
  <c r="E51" i="1"/>
  <c r="G52" i="1"/>
  <c r="I52" i="1" s="1"/>
  <c r="AQ52" i="1"/>
  <c r="AS52" i="1" s="1"/>
  <c r="C58" i="1"/>
  <c r="D58" i="1" s="1"/>
  <c r="Z70" i="1"/>
  <c r="AB63" i="1"/>
  <c r="L65" i="1"/>
  <c r="J69" i="1"/>
  <c r="AX68" i="1"/>
  <c r="AZ68" i="1" s="1"/>
  <c r="D68" i="1"/>
  <c r="AB69" i="1"/>
  <c r="G70" i="1"/>
  <c r="T70" i="1"/>
  <c r="AF70" i="1"/>
  <c r="AQ70" i="1"/>
  <c r="AI52" i="1"/>
  <c r="AK52" i="1" s="1"/>
  <c r="AE58" i="1"/>
  <c r="AV69" i="1"/>
  <c r="U70" i="1"/>
  <c r="Z73" i="1"/>
  <c r="AB73" i="1" s="1"/>
  <c r="AB72" i="1"/>
  <c r="Y46" i="1"/>
  <c r="U54" i="1"/>
  <c r="Y55" i="1"/>
  <c r="M57" i="1"/>
  <c r="AZ64" i="1"/>
  <c r="N69" i="1"/>
  <c r="P69" i="1" s="1"/>
  <c r="D66" i="1"/>
  <c r="AX67" i="1"/>
  <c r="AZ67" i="1" s="1"/>
  <c r="AN69" i="1"/>
  <c r="K70" i="1"/>
  <c r="W70" i="1"/>
  <c r="AI70" i="1"/>
  <c r="D73" i="1"/>
  <c r="V73" i="1"/>
  <c r="X73" i="1" s="1"/>
  <c r="AY69" i="1"/>
  <c r="BA69" i="1" s="1"/>
  <c r="AU74" i="1"/>
  <c r="AW74" i="1" s="1"/>
  <c r="AW70" i="1"/>
  <c r="D65" i="1"/>
  <c r="X69" i="1"/>
  <c r="AA70" i="1"/>
  <c r="AV70" i="1"/>
  <c r="C70" i="1"/>
  <c r="AX72" i="1"/>
  <c r="AZ72" i="1" s="1"/>
  <c r="B70" i="1"/>
  <c r="X63" i="1"/>
  <c r="F69" i="1"/>
  <c r="H69" i="1" s="1"/>
  <c r="H65" i="1"/>
  <c r="AX65" i="1"/>
  <c r="AZ65" i="1" s="1"/>
  <c r="AR69" i="1"/>
  <c r="AN70" i="1"/>
  <c r="D69" i="1"/>
  <c r="AE74" i="1"/>
  <c r="AG74" i="1" s="1"/>
  <c r="AG70" i="1"/>
  <c r="AK60" i="1" l="1"/>
  <c r="AJ60" i="1"/>
  <c r="K74" i="1"/>
  <c r="M74" i="1" s="1"/>
  <c r="M70" i="1"/>
  <c r="J70" i="1"/>
  <c r="L69" i="1"/>
  <c r="L58" i="1"/>
  <c r="BA57" i="1"/>
  <c r="AZ57" i="1"/>
  <c r="H52" i="1"/>
  <c r="BA55" i="1"/>
  <c r="AX40" i="1"/>
  <c r="D40" i="1"/>
  <c r="AZ32" i="1"/>
  <c r="AZ50" i="1"/>
  <c r="Y35" i="1"/>
  <c r="W60" i="1"/>
  <c r="D35" i="1"/>
  <c r="AX35" i="1"/>
  <c r="BA23" i="1"/>
  <c r="AZ23" i="1"/>
  <c r="U14" i="1"/>
  <c r="S16" i="1"/>
  <c r="E35" i="1"/>
  <c r="B17" i="1"/>
  <c r="AY52" i="1"/>
  <c r="AX73" i="1"/>
  <c r="AZ73" i="1" s="1"/>
  <c r="C74" i="1"/>
  <c r="E70" i="1"/>
  <c r="AY70" i="1"/>
  <c r="BA70" i="1" s="1"/>
  <c r="AQ74" i="1"/>
  <c r="AS70" i="1"/>
  <c r="AR70" i="1"/>
  <c r="BA47" i="1"/>
  <c r="AZ48" i="1"/>
  <c r="D52" i="1"/>
  <c r="AX52" i="1"/>
  <c r="AZ52" i="1" s="1"/>
  <c r="AN74" i="1"/>
  <c r="Q40" i="1"/>
  <c r="P40" i="1"/>
  <c r="M40" i="1"/>
  <c r="U58" i="1"/>
  <c r="N60" i="1"/>
  <c r="AW40" i="1"/>
  <c r="AV40" i="1"/>
  <c r="M14" i="1"/>
  <c r="K16" i="1"/>
  <c r="AV16" i="1"/>
  <c r="AT17" i="1"/>
  <c r="AB35" i="1"/>
  <c r="AN16" i="1"/>
  <c r="AL17" i="1"/>
  <c r="O14" i="1"/>
  <c r="N70" i="1"/>
  <c r="AZ49" i="1"/>
  <c r="V74" i="1"/>
  <c r="AX69" i="1"/>
  <c r="AZ69" i="1" s="1"/>
  <c r="P58" i="1"/>
  <c r="AB52" i="1"/>
  <c r="AZ38" i="1"/>
  <c r="AS40" i="1"/>
  <c r="AR40" i="1"/>
  <c r="AA60" i="1"/>
  <c r="AC60" i="1" s="1"/>
  <c r="AZ34" i="1"/>
  <c r="O60" i="1"/>
  <c r="Q60" i="1" s="1"/>
  <c r="AX58" i="1"/>
  <c r="X44" i="1"/>
  <c r="AC12" i="1"/>
  <c r="AA14" i="1"/>
  <c r="B60" i="1"/>
  <c r="T35" i="1"/>
  <c r="AZ11" i="1"/>
  <c r="BA11" i="1"/>
  <c r="K60" i="1"/>
  <c r="AY60" i="1" s="1"/>
  <c r="L14" i="1"/>
  <c r="AZ9" i="1"/>
  <c r="AZ44" i="1"/>
  <c r="I60" i="1"/>
  <c r="E12" i="1"/>
  <c r="C14" i="1"/>
  <c r="AY12" i="1"/>
  <c r="H12" i="1"/>
  <c r="I12" i="1"/>
  <c r="AX12" i="1"/>
  <c r="AZ12" i="1" s="1"/>
  <c r="AS14" i="1"/>
  <c r="AQ16" i="1"/>
  <c r="AF14" i="1"/>
  <c r="AD16" i="1"/>
  <c r="Z17" i="1"/>
  <c r="G74" i="1"/>
  <c r="I74" i="1" s="1"/>
  <c r="I70" i="1"/>
  <c r="AY58" i="1"/>
  <c r="BA58" i="1" s="1"/>
  <c r="E58" i="1"/>
  <c r="AC44" i="1"/>
  <c r="AB44" i="1"/>
  <c r="Y58" i="1"/>
  <c r="X58" i="1"/>
  <c r="J60" i="1"/>
  <c r="L60" i="1" s="1"/>
  <c r="AO35" i="1"/>
  <c r="AN35" i="1"/>
  <c r="BA39" i="1"/>
  <c r="AZ39" i="1"/>
  <c r="BA19" i="1"/>
  <c r="AF40" i="1"/>
  <c r="AW16" i="1"/>
  <c r="AZ22" i="1"/>
  <c r="AZ43" i="1"/>
  <c r="AZ56" i="1"/>
  <c r="AA74" i="1"/>
  <c r="AC74" i="1" s="1"/>
  <c r="AC70" i="1"/>
  <c r="AI74" i="1"/>
  <c r="AK70" i="1"/>
  <c r="AJ70" i="1"/>
  <c r="F70" i="1"/>
  <c r="E52" i="1"/>
  <c r="H58" i="1"/>
  <c r="AK40" i="1"/>
  <c r="AJ40" i="1"/>
  <c r="AB40" i="1"/>
  <c r="F14" i="1"/>
  <c r="AO40" i="1"/>
  <c r="AN40" i="1"/>
  <c r="AJ52" i="1"/>
  <c r="AE60" i="1"/>
  <c r="AG60" i="1" s="1"/>
  <c r="I35" i="1"/>
  <c r="W16" i="1"/>
  <c r="Y14" i="1"/>
  <c r="AU61" i="1"/>
  <c r="AW17" i="1"/>
  <c r="J17" i="1"/>
  <c r="L16" i="1"/>
  <c r="AX70" i="1"/>
  <c r="AZ70" i="1" s="1"/>
  <c r="B74" i="1"/>
  <c r="D70" i="1"/>
  <c r="Z74" i="1"/>
  <c r="AB70" i="1"/>
  <c r="AB58" i="1"/>
  <c r="AC58" i="1"/>
  <c r="W74" i="1"/>
  <c r="Y74" i="1" s="1"/>
  <c r="Y70" i="1"/>
  <c r="X70" i="1"/>
  <c r="AG58" i="1"/>
  <c r="AF58" i="1"/>
  <c r="T52" i="1"/>
  <c r="AV74" i="1"/>
  <c r="AK44" i="1"/>
  <c r="AJ44" i="1"/>
  <c r="T40" i="1"/>
  <c r="AY40" i="1"/>
  <c r="BA40" i="1" s="1"/>
  <c r="E40" i="1"/>
  <c r="AZ33" i="1"/>
  <c r="R60" i="1"/>
  <c r="T60" i="1" s="1"/>
  <c r="BA54" i="1"/>
  <c r="AQ60" i="1"/>
  <c r="AW35" i="1"/>
  <c r="AV35" i="1"/>
  <c r="AF35" i="1"/>
  <c r="V60" i="1"/>
  <c r="X60" i="1" s="1"/>
  <c r="AZ27" i="1"/>
  <c r="P14" i="1"/>
  <c r="N16" i="1"/>
  <c r="AM60" i="1"/>
  <c r="AO60" i="1" s="1"/>
  <c r="X16" i="1"/>
  <c r="V17" i="1"/>
  <c r="AZ29" i="1"/>
  <c r="AZ21" i="1"/>
  <c r="G16" i="1"/>
  <c r="I14" i="1"/>
  <c r="P12" i="1"/>
  <c r="AP61" i="1"/>
  <c r="AK14" i="1"/>
  <c r="AI16" i="1"/>
  <c r="AJ14" i="1"/>
  <c r="AH16" i="1"/>
  <c r="AY35" i="1"/>
  <c r="BA35" i="1" s="1"/>
  <c r="AE16" i="1"/>
  <c r="AG14" i="1"/>
  <c r="T14" i="1"/>
  <c r="R16" i="1"/>
  <c r="BA60" i="1" l="1"/>
  <c r="AI17" i="1"/>
  <c r="AK16" i="1"/>
  <c r="D74" i="1"/>
  <c r="AT61" i="1"/>
  <c r="AV17" i="1"/>
  <c r="AZ35" i="1"/>
  <c r="AZ40" i="1"/>
  <c r="J74" i="1"/>
  <c r="L74" i="1" s="1"/>
  <c r="L70" i="1"/>
  <c r="R17" i="1"/>
  <c r="T16" i="1"/>
  <c r="V61" i="1"/>
  <c r="AQ17" i="1"/>
  <c r="AS16" i="1"/>
  <c r="AR16" i="1"/>
  <c r="AX60" i="1"/>
  <c r="AZ60" i="1" s="1"/>
  <c r="D60" i="1"/>
  <c r="N74" i="1"/>
  <c r="P74" i="1" s="1"/>
  <c r="P70" i="1"/>
  <c r="AC14" i="1"/>
  <c r="AA16" i="1"/>
  <c r="AB14" i="1"/>
  <c r="O16" i="1"/>
  <c r="Q14" i="1"/>
  <c r="K17" i="1"/>
  <c r="M16" i="1"/>
  <c r="AS74" i="1"/>
  <c r="AR74" i="1"/>
  <c r="B61" i="1"/>
  <c r="Y60" i="1"/>
  <c r="AN60" i="1"/>
  <c r="AS60" i="1"/>
  <c r="AR60" i="1"/>
  <c r="J61" i="1"/>
  <c r="L17" i="1"/>
  <c r="F74" i="1"/>
  <c r="H74" i="1" s="1"/>
  <c r="H70" i="1"/>
  <c r="U60" i="1"/>
  <c r="AL61" i="1"/>
  <c r="AN17" i="1"/>
  <c r="AE17" i="1"/>
  <c r="AG16" i="1"/>
  <c r="N17" i="1"/>
  <c r="S17" i="1"/>
  <c r="U16" i="1"/>
  <c r="E60" i="1"/>
  <c r="AU75" i="1"/>
  <c r="AW61" i="1"/>
  <c r="H14" i="1"/>
  <c r="F16" i="1"/>
  <c r="AX14" i="1"/>
  <c r="AZ14" i="1" s="1"/>
  <c r="M60" i="1"/>
  <c r="AZ58" i="1"/>
  <c r="AO17" i="1"/>
  <c r="AY74" i="1"/>
  <c r="BA74" i="1" s="1"/>
  <c r="E74" i="1"/>
  <c r="AF60" i="1"/>
  <c r="AH17" i="1"/>
  <c r="AJ16" i="1"/>
  <c r="G17" i="1"/>
  <c r="AB74" i="1"/>
  <c r="AK74" i="1"/>
  <c r="AJ74" i="1"/>
  <c r="Z61" i="1"/>
  <c r="BA12" i="1"/>
  <c r="AM61" i="1"/>
  <c r="P60" i="1"/>
  <c r="AP75" i="1"/>
  <c r="Y16" i="1"/>
  <c r="W17" i="1"/>
  <c r="AF16" i="1"/>
  <c r="AD17" i="1"/>
  <c r="E14" i="1"/>
  <c r="AY14" i="1"/>
  <c r="C16" i="1"/>
  <c r="D14" i="1"/>
  <c r="X74" i="1"/>
  <c r="BA52" i="1"/>
  <c r="AB60" i="1"/>
  <c r="AM75" i="1" l="1"/>
  <c r="AO61" i="1"/>
  <c r="S61" i="1"/>
  <c r="U17" i="1"/>
  <c r="Q16" i="1"/>
  <c r="O17" i="1"/>
  <c r="AI61" i="1"/>
  <c r="AK17" i="1"/>
  <c r="AH61" i="1"/>
  <c r="AJ17" i="1"/>
  <c r="H16" i="1"/>
  <c r="F17" i="1"/>
  <c r="I17" i="1" s="1"/>
  <c r="AX16" i="1"/>
  <c r="AZ16" i="1" s="1"/>
  <c r="B75" i="1"/>
  <c r="AA17" i="1"/>
  <c r="AC16" i="1"/>
  <c r="AB16" i="1"/>
  <c r="AQ61" i="1"/>
  <c r="AS17" i="1"/>
  <c r="AR17" i="1"/>
  <c r="W61" i="1"/>
  <c r="Y17" i="1"/>
  <c r="Z75" i="1"/>
  <c r="J75" i="1"/>
  <c r="L61" i="1"/>
  <c r="X17" i="1"/>
  <c r="G61" i="1"/>
  <c r="AD61" i="1"/>
  <c r="AF17" i="1"/>
  <c r="N61" i="1"/>
  <c r="P17" i="1"/>
  <c r="P16" i="1"/>
  <c r="AE61" i="1"/>
  <c r="AG17" i="1"/>
  <c r="V75" i="1"/>
  <c r="X61" i="1"/>
  <c r="AT75" i="1"/>
  <c r="AV75" i="1" s="1"/>
  <c r="AV61" i="1"/>
  <c r="C17" i="1"/>
  <c r="E16" i="1"/>
  <c r="AY16" i="1"/>
  <c r="D16" i="1"/>
  <c r="AL75" i="1"/>
  <c r="AN75" i="1" s="1"/>
  <c r="AN61" i="1"/>
  <c r="K61" i="1"/>
  <c r="M17" i="1"/>
  <c r="R61" i="1"/>
  <c r="T17" i="1"/>
  <c r="AX74" i="1"/>
  <c r="AZ74" i="1" s="1"/>
  <c r="BA14" i="1"/>
  <c r="I16" i="1"/>
  <c r="AO75" i="1" l="1"/>
  <c r="W75" i="1"/>
  <c r="Y75" i="1" s="1"/>
  <c r="Y61" i="1"/>
  <c r="AI75" i="1"/>
  <c r="AK75" i="1" s="1"/>
  <c r="AK61" i="1"/>
  <c r="N75" i="1"/>
  <c r="P61" i="1"/>
  <c r="AA61" i="1"/>
  <c r="AC17" i="1"/>
  <c r="AB17" i="1"/>
  <c r="AH75" i="1"/>
  <c r="AJ61" i="1"/>
  <c r="AF61" i="1"/>
  <c r="AD75" i="1"/>
  <c r="AF75" i="1" s="1"/>
  <c r="BA16" i="1"/>
  <c r="G75" i="1"/>
  <c r="O61" i="1"/>
  <c r="Q17" i="1"/>
  <c r="R75" i="1"/>
  <c r="T75" i="1" s="1"/>
  <c r="T61" i="1"/>
  <c r="AE75" i="1"/>
  <c r="AG61" i="1"/>
  <c r="C61" i="1"/>
  <c r="E17" i="1"/>
  <c r="AY17" i="1"/>
  <c r="BA17" i="1" s="1"/>
  <c r="D17" i="1"/>
  <c r="AQ75" i="1"/>
  <c r="AS61" i="1"/>
  <c r="AR61" i="1"/>
  <c r="F61" i="1"/>
  <c r="H17" i="1"/>
  <c r="AX17" i="1"/>
  <c r="K75" i="1"/>
  <c r="M75" i="1" s="1"/>
  <c r="M61" i="1"/>
  <c r="AW75" i="1"/>
  <c r="L75" i="1"/>
  <c r="S75" i="1"/>
  <c r="U61" i="1"/>
  <c r="AZ17" i="1" l="1"/>
  <c r="AJ75" i="1"/>
  <c r="O75" i="1"/>
  <c r="Q75" i="1" s="1"/>
  <c r="Q61" i="1"/>
  <c r="C75" i="1"/>
  <c r="AY61" i="1"/>
  <c r="BA61" i="1" s="1"/>
  <c r="E61" i="1"/>
  <c r="D61" i="1"/>
  <c r="AS75" i="1"/>
  <c r="AR75" i="1"/>
  <c r="H61" i="1"/>
  <c r="F75" i="1"/>
  <c r="AX61" i="1"/>
  <c r="AZ61" i="1" s="1"/>
  <c r="I61" i="1"/>
  <c r="X75" i="1"/>
  <c r="U75" i="1"/>
  <c r="AG75" i="1"/>
  <c r="AA75" i="1"/>
  <c r="AC61" i="1"/>
  <c r="AB61" i="1"/>
  <c r="AY75" i="1" l="1"/>
  <c r="E75" i="1"/>
  <c r="D75" i="1"/>
  <c r="H75" i="1"/>
  <c r="AX75" i="1"/>
  <c r="AZ75" i="1" s="1"/>
  <c r="AC75" i="1"/>
  <c r="AB75" i="1"/>
  <c r="I75" i="1"/>
  <c r="P75" i="1"/>
  <c r="BA75" i="1" l="1"/>
</calcChain>
</file>

<file path=xl/sharedStrings.xml><?xml version="1.0" encoding="utf-8"?>
<sst xmlns="http://schemas.openxmlformats.org/spreadsheetml/2006/main" count="138" uniqueCount="90">
  <si>
    <t>Jul 2022</t>
  </si>
  <si>
    <t>Aug 2022</t>
  </si>
  <si>
    <t>Sep 2022</t>
  </si>
  <si>
    <t>Oct 2022</t>
  </si>
  <si>
    <t>Nov 2022</t>
  </si>
  <si>
    <t>Dec 2022</t>
  </si>
  <si>
    <t>Jan 2023</t>
  </si>
  <si>
    <t>Feb 2023</t>
  </si>
  <si>
    <t>Mar 2023</t>
  </si>
  <si>
    <t>Apr 2023</t>
  </si>
  <si>
    <t>May 2023</t>
  </si>
  <si>
    <t>Jun 2023</t>
  </si>
  <si>
    <t>Total</t>
  </si>
  <si>
    <t>Actual</t>
  </si>
  <si>
    <t>Budget</t>
  </si>
  <si>
    <t>over Budget</t>
  </si>
  <si>
    <t>% of Budget</t>
  </si>
  <si>
    <t>Revenue</t>
  </si>
  <si>
    <t xml:space="preserve">   43400 Support and Revenue</t>
  </si>
  <si>
    <t xml:space="preserve">      43410 Contributions</t>
  </si>
  <si>
    <t xml:space="preserve">      43440 Fee Income</t>
  </si>
  <si>
    <t xml:space="preserve">         43441 Fee Income from Portfolio</t>
  </si>
  <si>
    <t xml:space="preserve">      Total 43440 Fee Income</t>
  </si>
  <si>
    <t xml:space="preserve">      43450 L&amp;L HGF Grant</t>
  </si>
  <si>
    <t xml:space="preserve">   Total 43400 Support and Revenue</t>
  </si>
  <si>
    <t xml:space="preserve">   45030 Interest</t>
  </si>
  <si>
    <t>Total Revenue</t>
  </si>
  <si>
    <t>Gross Profit</t>
  </si>
  <si>
    <t>Expenditures</t>
  </si>
  <si>
    <t xml:space="preserve">   60000 L&amp;L Event</t>
  </si>
  <si>
    <t xml:space="preserve">   60000.1 Incentive Grants</t>
  </si>
  <si>
    <t xml:space="preserve">   60001 Bank Fees</t>
  </si>
  <si>
    <t xml:space="preserve">   60002 Rent</t>
  </si>
  <si>
    <t xml:space="preserve">   60003 Promotional Material</t>
  </si>
  <si>
    <t xml:space="preserve">   60004 JCC/Ewing Property</t>
  </si>
  <si>
    <t xml:space="preserve">   60008 Advertising/Promotional</t>
  </si>
  <si>
    <t xml:space="preserve">   60009 Renaissance Fee</t>
  </si>
  <si>
    <t xml:space="preserve">   60010 Travel</t>
  </si>
  <si>
    <t xml:space="preserve">   60020 Website</t>
  </si>
  <si>
    <t xml:space="preserve">   60040 Miscellaneous</t>
  </si>
  <si>
    <t xml:space="preserve">   60900 Payroll and Consulting Fees</t>
  </si>
  <si>
    <t xml:space="preserve">      60901 Consultants</t>
  </si>
  <si>
    <t xml:space="preserve">      60902 Payroll</t>
  </si>
  <si>
    <t xml:space="preserve">      60903 Payroll Processing Fees</t>
  </si>
  <si>
    <t xml:space="preserve">      60904 Payroll Tax Expense</t>
  </si>
  <si>
    <t xml:space="preserve">   Total 60900 Payroll and Consulting Fees</t>
  </si>
  <si>
    <t xml:space="preserve">   62100 Professional Fees</t>
  </si>
  <si>
    <t xml:space="preserve">      62110 Accounting Fees</t>
  </si>
  <si>
    <t xml:space="preserve">      62120 Auditor</t>
  </si>
  <si>
    <t xml:space="preserve">      62140 Legal Fees</t>
  </si>
  <si>
    <t xml:space="preserve">   Total 62100 Professional Fees</t>
  </si>
  <si>
    <t xml:space="preserve">   63000 Insurance</t>
  </si>
  <si>
    <t xml:space="preserve">      63100 Insurance - Donor</t>
  </si>
  <si>
    <t xml:space="preserve">      63200 Liability Insurance</t>
  </si>
  <si>
    <t xml:space="preserve">   Total 63000 Insurance</t>
  </si>
  <si>
    <t xml:space="preserve">   65000 Office Expenses</t>
  </si>
  <si>
    <t xml:space="preserve">      65010 Licenses</t>
  </si>
  <si>
    <t xml:space="preserve">      65020 Postage, Mailing Service</t>
  </si>
  <si>
    <t xml:space="preserve">      65030 Printing and Copying</t>
  </si>
  <si>
    <t xml:space="preserve">      65040 Supplies</t>
  </si>
  <si>
    <t xml:space="preserve">      65050 Membership Dues</t>
  </si>
  <si>
    <t xml:space="preserve">      65060 Tel/Communication/Internet</t>
  </si>
  <si>
    <t xml:space="preserve">   Total 65000 Office Expenses</t>
  </si>
  <si>
    <t xml:space="preserve">   68310 Conference, Convention, Meeting</t>
  </si>
  <si>
    <t xml:space="preserve">      68311 Training</t>
  </si>
  <si>
    <t xml:space="preserve">      68320 JFCGM Programs</t>
  </si>
  <si>
    <t xml:space="preserve">      68330 Board Meeting Expenses</t>
  </si>
  <si>
    <t xml:space="preserve">      68340 Conferences and Conventions</t>
  </si>
  <si>
    <t xml:space="preserve">   Total 68310 Conference, Convention, Meeting</t>
  </si>
  <si>
    <t xml:space="preserve">   Scholarship Awards</t>
  </si>
  <si>
    <t>Total Expenditures</t>
  </si>
  <si>
    <t>Net Operating Revenue</t>
  </si>
  <si>
    <t>Other Revenue</t>
  </si>
  <si>
    <t xml:space="preserve">   41000 DAF Contributions</t>
  </si>
  <si>
    <t xml:space="preserve">   45000 Investment Gain or Loss, Net</t>
  </si>
  <si>
    <t xml:space="preserve">      45100 Investment Income</t>
  </si>
  <si>
    <t xml:space="preserve">      45300 Realized Gains and Losses</t>
  </si>
  <si>
    <t xml:space="preserve">      45400 Unrealized Gains and Losses</t>
  </si>
  <si>
    <t xml:space="preserve">      60006 Investment Management Fees</t>
  </si>
  <si>
    <t xml:space="preserve">   Total 45000 Investment Gain or Loss, Net</t>
  </si>
  <si>
    <t>Total Other Revenue</t>
  </si>
  <si>
    <t>Other Expenditures</t>
  </si>
  <si>
    <t xml:space="preserve">   60007 Allocations</t>
  </si>
  <si>
    <t>Total Other Expenditures</t>
  </si>
  <si>
    <t>Net Other Revenue</t>
  </si>
  <si>
    <t>Net Revenue</t>
  </si>
  <si>
    <t>Tuesday, Mar 21, 2023 02:04:22 PM GMT-7 - Accrual Basis</t>
  </si>
  <si>
    <t>Jewish Community Foundation of Greater Mercer</t>
  </si>
  <si>
    <t xml:space="preserve">Budget vs. Actuals: FY 2023 Budget - FY23 P&amp;L </t>
  </si>
  <si>
    <t>July 2022 - June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</si>
</sst>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&quot;$&quot;* #,##0.00\ _€"/>
  </numFmts>
  <fonts count="6" x14ac:knownFonts="1">
    <font>
      <sz val="11"/>
      <color indexed="8"/>
      <name val="Calibri"/>
      <family val="2"/>
      <scheme val="minor"/>
    </font>
    <font>
      <b/>
      <sz val="9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b/>
      <sz val="14"/>
      <color indexed="8"/>
      <name val="Arial"/>
    </font>
    <font>
      <b/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64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10" fontId="3" fillId="0" borderId="0" xfId="0" applyNumberFormat="1" applyFont="1" applyAlignment="1">
      <alignment horizontal="right" wrapText="1"/>
    </xf>
    <xf numFmtId="165" fontId="2" fillId="0" borderId="2" xfId="0" applyNumberFormat="1" applyFont="1" applyBorder="1" applyAlignment="1">
      <alignment horizontal="right" wrapText="1"/>
    </xf>
    <xf numFmtId="10" fontId="2" fillId="0" borderId="2" xfId="0" applyNumberFormat="1" applyFont="1" applyBorder="1" applyAlignment="1">
      <alignment horizontal="right" wrapText="1"/>
    </xf>
    <xf numFmtId="165" fontId="2" fillId="0" borderId="3" xfId="0" applyNumberFormat="1" applyFont="1" applyBorder="1" applyAlignment="1">
      <alignment horizontal="right" wrapText="1"/>
    </xf>
    <xf numFmtId="10" fontId="2" fillId="0" borderId="3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164" fontId="3" fillId="2" borderId="0" xfId="0" applyNumberFormat="1" applyFont="1" applyFill="1" applyAlignment="1">
      <alignment wrapText="1"/>
    </xf>
    <xf numFmtId="164" fontId="3" fillId="2" borderId="0" xfId="0" applyNumberFormat="1" applyFont="1" applyFill="1" applyAlignment="1">
      <alignment horizontal="right" wrapText="1"/>
    </xf>
    <xf numFmtId="165" fontId="2" fillId="2" borderId="2" xfId="0" applyNumberFormat="1" applyFont="1" applyFill="1" applyBorder="1" applyAlignment="1">
      <alignment horizontal="right" wrapText="1"/>
    </xf>
    <xf numFmtId="165" fontId="2" fillId="2" borderId="3" xfId="0" applyNumberFormat="1" applyFont="1" applyFill="1" applyBorder="1" applyAlignment="1">
      <alignment horizontal="right" wrapText="1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79"/>
  <sheetViews>
    <sheetView tabSelected="1" workbookViewId="0">
      <pane xSplit="1" ySplit="6" topLeftCell="AY7" activePane="bottomRight" state="frozen"/>
      <selection pane="topRight" activeCell="B1" sqref="B1"/>
      <selection pane="bottomLeft" activeCell="A7" sqref="A7"/>
      <selection pane="bottomRight" activeCell="AY7" sqref="AY7"/>
    </sheetView>
  </sheetViews>
  <sheetFormatPr defaultRowHeight="15" x14ac:dyDescent="0.25"/>
  <cols>
    <col min="1" max="1" width="40.42578125" customWidth="1"/>
    <col min="2" max="3" width="11.140625" customWidth="1"/>
    <col min="4" max="5" width="10.28515625" customWidth="1"/>
    <col min="6" max="6" width="12" customWidth="1"/>
    <col min="7" max="7" width="9.42578125" customWidth="1"/>
    <col min="8" max="8" width="12" customWidth="1"/>
    <col min="9" max="9" width="10.28515625" customWidth="1"/>
    <col min="10" max="10" width="12" customWidth="1"/>
    <col min="11" max="11" width="11.140625" customWidth="1"/>
    <col min="12" max="12" width="12" customWidth="1"/>
    <col min="13" max="13" width="9.42578125" customWidth="1"/>
    <col min="14" max="14" width="10.28515625" customWidth="1"/>
    <col min="15" max="15" width="9.42578125" customWidth="1"/>
    <col min="16" max="16" width="11.140625" customWidth="1"/>
    <col min="17" max="17" width="9.42578125" customWidth="1"/>
    <col min="18" max="19" width="11.140625" customWidth="1"/>
    <col min="20" max="21" width="10.28515625" customWidth="1"/>
    <col min="22" max="22" width="11.140625" customWidth="1"/>
    <col min="23" max="23" width="9.42578125" customWidth="1"/>
    <col min="24" max="24" width="11.140625" customWidth="1"/>
    <col min="25" max="25" width="9.42578125" customWidth="1"/>
    <col min="26" max="26" width="11.140625" customWidth="1"/>
    <col min="27" max="27" width="9.42578125" customWidth="1"/>
    <col min="28" max="28" width="11.140625" customWidth="1"/>
    <col min="29" max="30" width="9.42578125" customWidth="1"/>
    <col min="31" max="31" width="11.140625" customWidth="1"/>
    <col min="32" max="32" width="10.28515625" customWidth="1"/>
    <col min="33" max="33" width="9.42578125" customWidth="1"/>
    <col min="34" max="34" width="8.5703125" customWidth="1"/>
    <col min="35" max="36" width="11.140625" customWidth="1"/>
    <col min="37" max="37" width="7.7109375" customWidth="1"/>
    <col min="38" max="38" width="8.5703125" customWidth="1"/>
    <col min="39" max="39" width="9.42578125" customWidth="1"/>
    <col min="40" max="40" width="11.140625" customWidth="1"/>
    <col min="41" max="41" width="7.7109375" customWidth="1"/>
    <col min="42" max="42" width="8.5703125" customWidth="1"/>
    <col min="43" max="44" width="11.140625" customWidth="1"/>
    <col min="45" max="45" width="7.7109375" customWidth="1"/>
    <col min="46" max="46" width="8.5703125" customWidth="1"/>
    <col min="47" max="48" width="11.140625" customWidth="1"/>
    <col min="49" max="49" width="7.7109375" customWidth="1"/>
    <col min="50" max="50" width="12" customWidth="1"/>
    <col min="51" max="51" width="11.140625" style="22" customWidth="1"/>
    <col min="52" max="52" width="12" customWidth="1"/>
    <col min="53" max="53" width="10.28515625" customWidth="1"/>
  </cols>
  <sheetData>
    <row r="1" spans="1:53" ht="18" x14ac:dyDescent="0.25">
      <c r="A1" s="15" t="s">
        <v>87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</row>
    <row r="2" spans="1:53" ht="18" x14ac:dyDescent="0.25">
      <c r="A2" s="15" t="s">
        <v>88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</row>
    <row r="3" spans="1:53" x14ac:dyDescent="0.25">
      <c r="A3" s="16" t="s">
        <v>89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</row>
    <row r="5" spans="1:53" x14ac:dyDescent="0.25">
      <c r="A5" s="1"/>
      <c r="B5" s="11" t="s">
        <v>0</v>
      </c>
      <c r="C5" s="12"/>
      <c r="D5" s="12"/>
      <c r="E5" s="12"/>
      <c r="F5" s="11" t="s">
        <v>1</v>
      </c>
      <c r="G5" s="12"/>
      <c r="H5" s="12"/>
      <c r="I5" s="12"/>
      <c r="J5" s="11" t="s">
        <v>2</v>
      </c>
      <c r="K5" s="12"/>
      <c r="L5" s="12"/>
      <c r="M5" s="12"/>
      <c r="N5" s="11" t="s">
        <v>3</v>
      </c>
      <c r="O5" s="12"/>
      <c r="P5" s="12"/>
      <c r="Q5" s="12"/>
      <c r="R5" s="11" t="s">
        <v>4</v>
      </c>
      <c r="S5" s="12"/>
      <c r="T5" s="12"/>
      <c r="U5" s="12"/>
      <c r="V5" s="11" t="s">
        <v>5</v>
      </c>
      <c r="W5" s="12"/>
      <c r="X5" s="12"/>
      <c r="Y5" s="12"/>
      <c r="Z5" s="11" t="s">
        <v>6</v>
      </c>
      <c r="AA5" s="12"/>
      <c r="AB5" s="12"/>
      <c r="AC5" s="12"/>
      <c r="AD5" s="11" t="s">
        <v>7</v>
      </c>
      <c r="AE5" s="12"/>
      <c r="AF5" s="12"/>
      <c r="AG5" s="12"/>
      <c r="AH5" s="11" t="s">
        <v>8</v>
      </c>
      <c r="AI5" s="12"/>
      <c r="AJ5" s="12"/>
      <c r="AK5" s="12"/>
      <c r="AL5" s="11" t="s">
        <v>9</v>
      </c>
      <c r="AM5" s="12"/>
      <c r="AN5" s="12"/>
      <c r="AO5" s="12"/>
      <c r="AP5" s="11" t="s">
        <v>10</v>
      </c>
      <c r="AQ5" s="12"/>
      <c r="AR5" s="12"/>
      <c r="AS5" s="12"/>
      <c r="AT5" s="11" t="s">
        <v>11</v>
      </c>
      <c r="AU5" s="12"/>
      <c r="AV5" s="12"/>
      <c r="AW5" s="12"/>
      <c r="AX5" s="11" t="s">
        <v>12</v>
      </c>
      <c r="AY5" s="12"/>
      <c r="AZ5" s="12"/>
      <c r="BA5" s="12"/>
    </row>
    <row r="6" spans="1:53" ht="24.75" x14ac:dyDescent="0.25">
      <c r="A6" s="1"/>
      <c r="B6" s="2" t="s">
        <v>13</v>
      </c>
      <c r="C6" s="2" t="s">
        <v>14</v>
      </c>
      <c r="D6" s="2" t="s">
        <v>15</v>
      </c>
      <c r="E6" s="2" t="s">
        <v>16</v>
      </c>
      <c r="F6" s="2" t="s">
        <v>13</v>
      </c>
      <c r="G6" s="2" t="s">
        <v>14</v>
      </c>
      <c r="H6" s="2" t="s">
        <v>15</v>
      </c>
      <c r="I6" s="2" t="s">
        <v>16</v>
      </c>
      <c r="J6" s="2" t="s">
        <v>13</v>
      </c>
      <c r="K6" s="2" t="s">
        <v>14</v>
      </c>
      <c r="L6" s="2" t="s">
        <v>15</v>
      </c>
      <c r="M6" s="2" t="s">
        <v>16</v>
      </c>
      <c r="N6" s="2" t="s">
        <v>13</v>
      </c>
      <c r="O6" s="2" t="s">
        <v>14</v>
      </c>
      <c r="P6" s="2" t="s">
        <v>15</v>
      </c>
      <c r="Q6" s="2" t="s">
        <v>16</v>
      </c>
      <c r="R6" s="2" t="s">
        <v>13</v>
      </c>
      <c r="S6" s="2" t="s">
        <v>14</v>
      </c>
      <c r="T6" s="2" t="s">
        <v>15</v>
      </c>
      <c r="U6" s="2" t="s">
        <v>16</v>
      </c>
      <c r="V6" s="2" t="s">
        <v>13</v>
      </c>
      <c r="W6" s="2" t="s">
        <v>14</v>
      </c>
      <c r="X6" s="2" t="s">
        <v>15</v>
      </c>
      <c r="Y6" s="2" t="s">
        <v>16</v>
      </c>
      <c r="Z6" s="2" t="s">
        <v>13</v>
      </c>
      <c r="AA6" s="2" t="s">
        <v>14</v>
      </c>
      <c r="AB6" s="2" t="s">
        <v>15</v>
      </c>
      <c r="AC6" s="2" t="s">
        <v>16</v>
      </c>
      <c r="AD6" s="2" t="s">
        <v>13</v>
      </c>
      <c r="AE6" s="2" t="s">
        <v>14</v>
      </c>
      <c r="AF6" s="2" t="s">
        <v>15</v>
      </c>
      <c r="AG6" s="2" t="s">
        <v>16</v>
      </c>
      <c r="AH6" s="2" t="s">
        <v>13</v>
      </c>
      <c r="AI6" s="2" t="s">
        <v>14</v>
      </c>
      <c r="AJ6" s="2" t="s">
        <v>15</v>
      </c>
      <c r="AK6" s="2" t="s">
        <v>16</v>
      </c>
      <c r="AL6" s="2" t="s">
        <v>13</v>
      </c>
      <c r="AM6" s="2" t="s">
        <v>14</v>
      </c>
      <c r="AN6" s="2" t="s">
        <v>15</v>
      </c>
      <c r="AO6" s="2" t="s">
        <v>16</v>
      </c>
      <c r="AP6" s="2" t="s">
        <v>13</v>
      </c>
      <c r="AQ6" s="2" t="s">
        <v>14</v>
      </c>
      <c r="AR6" s="2" t="s">
        <v>15</v>
      </c>
      <c r="AS6" s="2" t="s">
        <v>16</v>
      </c>
      <c r="AT6" s="2" t="s">
        <v>13</v>
      </c>
      <c r="AU6" s="2" t="s">
        <v>14</v>
      </c>
      <c r="AV6" s="2" t="s">
        <v>15</v>
      </c>
      <c r="AW6" s="2" t="s">
        <v>16</v>
      </c>
      <c r="AX6" s="2" t="s">
        <v>13</v>
      </c>
      <c r="AY6" s="17" t="s">
        <v>14</v>
      </c>
      <c r="AZ6" s="2" t="s">
        <v>15</v>
      </c>
      <c r="BA6" s="2" t="s">
        <v>16</v>
      </c>
    </row>
    <row r="7" spans="1:53" x14ac:dyDescent="0.25">
      <c r="A7" s="3" t="s">
        <v>17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18"/>
      <c r="AZ7" s="4"/>
      <c r="BA7" s="4"/>
    </row>
    <row r="8" spans="1:53" x14ac:dyDescent="0.25">
      <c r="A8" s="3" t="s">
        <v>18</v>
      </c>
      <c r="B8" s="4"/>
      <c r="C8" s="4"/>
      <c r="D8" s="5">
        <f t="shared" ref="D8:D17" si="0">(B8)-(C8)</f>
        <v>0</v>
      </c>
      <c r="E8" s="6" t="str">
        <f t="shared" ref="E8:E17" si="1">IF(C8=0,"",(B8)/(C8))</f>
        <v/>
      </c>
      <c r="F8" s="4"/>
      <c r="G8" s="4"/>
      <c r="H8" s="5">
        <f t="shared" ref="H8:H17" si="2">(F8)-(G8)</f>
        <v>0</v>
      </c>
      <c r="I8" s="6" t="str">
        <f t="shared" ref="I8:I17" si="3">IF(G8=0,"",(F8)/(G8))</f>
        <v/>
      </c>
      <c r="J8" s="4"/>
      <c r="K8" s="4"/>
      <c r="L8" s="5">
        <f t="shared" ref="L8:L17" si="4">(J8)-(K8)</f>
        <v>0</v>
      </c>
      <c r="M8" s="6" t="str">
        <f t="shared" ref="M8:M17" si="5">IF(K8=0,"",(J8)/(K8))</f>
        <v/>
      </c>
      <c r="N8" s="4"/>
      <c r="O8" s="4"/>
      <c r="P8" s="5">
        <f t="shared" ref="P8:P17" si="6">(N8)-(O8)</f>
        <v>0</v>
      </c>
      <c r="Q8" s="6" t="str">
        <f t="shared" ref="Q8:Q17" si="7">IF(O8=0,"",(N8)/(O8))</f>
        <v/>
      </c>
      <c r="R8" s="4"/>
      <c r="S8" s="4"/>
      <c r="T8" s="5">
        <f t="shared" ref="T8:T17" si="8">(R8)-(S8)</f>
        <v>0</v>
      </c>
      <c r="U8" s="6" t="str">
        <f t="shared" ref="U8:U17" si="9">IF(S8=0,"",(R8)/(S8))</f>
        <v/>
      </c>
      <c r="V8" s="4"/>
      <c r="W8" s="4"/>
      <c r="X8" s="5">
        <f t="shared" ref="X8:X17" si="10">(V8)-(W8)</f>
        <v>0</v>
      </c>
      <c r="Y8" s="6" t="str">
        <f t="shared" ref="Y8:Y17" si="11">IF(W8=0,"",(V8)/(W8))</f>
        <v/>
      </c>
      <c r="Z8" s="4"/>
      <c r="AA8" s="4"/>
      <c r="AB8" s="5">
        <f t="shared" ref="AB8:AB17" si="12">(Z8)-(AA8)</f>
        <v>0</v>
      </c>
      <c r="AC8" s="6" t="str">
        <f t="shared" ref="AC8:AC17" si="13">IF(AA8=0,"",(Z8)/(AA8))</f>
        <v/>
      </c>
      <c r="AD8" s="4"/>
      <c r="AE8" s="4"/>
      <c r="AF8" s="5">
        <f t="shared" ref="AF8:AF17" si="14">(AD8)-(AE8)</f>
        <v>0</v>
      </c>
      <c r="AG8" s="6" t="str">
        <f t="shared" ref="AG8:AG17" si="15">IF(AE8=0,"",(AD8)/(AE8))</f>
        <v/>
      </c>
      <c r="AH8" s="4"/>
      <c r="AI8" s="4"/>
      <c r="AJ8" s="5">
        <f t="shared" ref="AJ8:AJ17" si="16">(AH8)-(AI8)</f>
        <v>0</v>
      </c>
      <c r="AK8" s="6" t="str">
        <f t="shared" ref="AK8:AK17" si="17">IF(AI8=0,"",(AH8)/(AI8))</f>
        <v/>
      </c>
      <c r="AL8" s="4"/>
      <c r="AM8" s="4"/>
      <c r="AN8" s="5">
        <f t="shared" ref="AN8:AN17" si="18">(AL8)-(AM8)</f>
        <v>0</v>
      </c>
      <c r="AO8" s="6" t="str">
        <f t="shared" ref="AO8:AO17" si="19">IF(AM8=0,"",(AL8)/(AM8))</f>
        <v/>
      </c>
      <c r="AP8" s="4"/>
      <c r="AQ8" s="4"/>
      <c r="AR8" s="5">
        <f t="shared" ref="AR8:AR17" si="20">(AP8)-(AQ8)</f>
        <v>0</v>
      </c>
      <c r="AS8" s="6" t="str">
        <f t="shared" ref="AS8:AS17" si="21">IF(AQ8=0,"",(AP8)/(AQ8))</f>
        <v/>
      </c>
      <c r="AT8" s="4"/>
      <c r="AU8" s="4"/>
      <c r="AV8" s="5">
        <f t="shared" ref="AV8:AV17" si="22">(AT8)-(AU8)</f>
        <v>0</v>
      </c>
      <c r="AW8" s="6" t="str">
        <f t="shared" ref="AW8:AW17" si="23">IF(AU8=0,"",(AT8)/(AU8))</f>
        <v/>
      </c>
      <c r="AX8" s="5">
        <f t="shared" ref="AX8:AX17" si="24">(((((((((((B8)+(F8))+(J8))+(N8))+(R8))+(V8))+(Z8))+(AD8))+(AH8))+(AL8))+(AP8))+(AT8)</f>
        <v>0</v>
      </c>
      <c r="AY8" s="19">
        <f t="shared" ref="AY8:AY17" si="25">(((((((((((C8)+(G8))+(K8))+(O8))+(S8))+(W8))+(AA8))+(AE8))+(AI8))+(AM8))+(AQ8))+(AU8)</f>
        <v>0</v>
      </c>
      <c r="AZ8" s="5">
        <f t="shared" ref="AZ8:AZ17" si="26">(AX8)-(AY8)</f>
        <v>0</v>
      </c>
      <c r="BA8" s="6" t="str">
        <f t="shared" ref="BA8:BA17" si="27">IF(AY8=0,"",(AX8)/(AY8))</f>
        <v/>
      </c>
    </row>
    <row r="9" spans="1:53" x14ac:dyDescent="0.25">
      <c r="A9" s="3" t="s">
        <v>19</v>
      </c>
      <c r="B9" s="5">
        <f>540</f>
        <v>540</v>
      </c>
      <c r="C9" s="5">
        <f>3600</f>
        <v>3600</v>
      </c>
      <c r="D9" s="5">
        <f t="shared" si="0"/>
        <v>-3060</v>
      </c>
      <c r="E9" s="6">
        <f t="shared" si="1"/>
        <v>0.15</v>
      </c>
      <c r="F9" s="5">
        <f>9648.93</f>
        <v>9648.93</v>
      </c>
      <c r="G9" s="5">
        <f>8500</f>
        <v>8500</v>
      </c>
      <c r="H9" s="5">
        <f t="shared" si="2"/>
        <v>1148.9300000000003</v>
      </c>
      <c r="I9" s="6">
        <f t="shared" si="3"/>
        <v>1.1351682352941177</v>
      </c>
      <c r="J9" s="5">
        <f>561.8</f>
        <v>561.79999999999995</v>
      </c>
      <c r="K9" s="5">
        <f>2300</f>
        <v>2300</v>
      </c>
      <c r="L9" s="5">
        <f t="shared" si="4"/>
        <v>-1738.2</v>
      </c>
      <c r="M9" s="6">
        <f t="shared" si="5"/>
        <v>0.24426086956521736</v>
      </c>
      <c r="N9" s="5">
        <f>1073.12</f>
        <v>1073.1199999999999</v>
      </c>
      <c r="O9" s="5">
        <f>6000</f>
        <v>6000</v>
      </c>
      <c r="P9" s="5">
        <f t="shared" si="6"/>
        <v>-4926.88</v>
      </c>
      <c r="Q9" s="6">
        <f t="shared" si="7"/>
        <v>0.17885333333333331</v>
      </c>
      <c r="R9" s="5">
        <f>302.4</f>
        <v>302.39999999999998</v>
      </c>
      <c r="S9" s="5">
        <f>1000</f>
        <v>1000</v>
      </c>
      <c r="T9" s="5">
        <f t="shared" si="8"/>
        <v>-697.6</v>
      </c>
      <c r="U9" s="6">
        <f t="shared" si="9"/>
        <v>0.3024</v>
      </c>
      <c r="V9" s="5">
        <f>7930.17</f>
        <v>7930.17</v>
      </c>
      <c r="W9" s="5">
        <f>7400</f>
        <v>7400</v>
      </c>
      <c r="X9" s="5">
        <f t="shared" si="10"/>
        <v>530.17000000000007</v>
      </c>
      <c r="Y9" s="6">
        <f t="shared" si="11"/>
        <v>1.0716445945945947</v>
      </c>
      <c r="Z9" s="5">
        <f>3856.73</f>
        <v>3856.73</v>
      </c>
      <c r="AA9" s="5">
        <f>100</f>
        <v>100</v>
      </c>
      <c r="AB9" s="5">
        <f t="shared" si="12"/>
        <v>3756.73</v>
      </c>
      <c r="AC9" s="6">
        <f t="shared" si="13"/>
        <v>38.567300000000003</v>
      </c>
      <c r="AD9" s="4"/>
      <c r="AE9" s="5">
        <f>500</f>
        <v>500</v>
      </c>
      <c r="AF9" s="5">
        <f t="shared" si="14"/>
        <v>-500</v>
      </c>
      <c r="AG9" s="6">
        <f t="shared" si="15"/>
        <v>0</v>
      </c>
      <c r="AH9" s="4"/>
      <c r="AI9" s="5">
        <f>800</f>
        <v>800</v>
      </c>
      <c r="AJ9" s="5">
        <f t="shared" si="16"/>
        <v>-800</v>
      </c>
      <c r="AK9" s="6">
        <f t="shared" si="17"/>
        <v>0</v>
      </c>
      <c r="AL9" s="4"/>
      <c r="AM9" s="5">
        <f>800</f>
        <v>800</v>
      </c>
      <c r="AN9" s="5">
        <f t="shared" si="18"/>
        <v>-800</v>
      </c>
      <c r="AO9" s="6">
        <f t="shared" si="19"/>
        <v>0</v>
      </c>
      <c r="AP9" s="4"/>
      <c r="AQ9" s="5">
        <f>500</f>
        <v>500</v>
      </c>
      <c r="AR9" s="5">
        <f t="shared" si="20"/>
        <v>-500</v>
      </c>
      <c r="AS9" s="6">
        <f t="shared" si="21"/>
        <v>0</v>
      </c>
      <c r="AT9" s="4"/>
      <c r="AU9" s="5">
        <f>500</f>
        <v>500</v>
      </c>
      <c r="AV9" s="5">
        <f t="shared" si="22"/>
        <v>-500</v>
      </c>
      <c r="AW9" s="6">
        <f t="shared" si="23"/>
        <v>0</v>
      </c>
      <c r="AX9" s="5">
        <f t="shared" si="24"/>
        <v>23913.149999999998</v>
      </c>
      <c r="AY9" s="19">
        <f t="shared" si="25"/>
        <v>32000</v>
      </c>
      <c r="AZ9" s="5">
        <f t="shared" si="26"/>
        <v>-8086.8500000000022</v>
      </c>
      <c r="BA9" s="6">
        <f t="shared" si="27"/>
        <v>0.74728593749999994</v>
      </c>
    </row>
    <row r="10" spans="1:53" x14ac:dyDescent="0.25">
      <c r="A10" s="3" t="s">
        <v>20</v>
      </c>
      <c r="B10" s="4"/>
      <c r="C10" s="4"/>
      <c r="D10" s="5">
        <f t="shared" si="0"/>
        <v>0</v>
      </c>
      <c r="E10" s="6" t="str">
        <f t="shared" si="1"/>
        <v/>
      </c>
      <c r="F10" s="4"/>
      <c r="G10" s="4"/>
      <c r="H10" s="5">
        <f t="shared" si="2"/>
        <v>0</v>
      </c>
      <c r="I10" s="6" t="str">
        <f t="shared" si="3"/>
        <v/>
      </c>
      <c r="J10" s="4"/>
      <c r="K10" s="4"/>
      <c r="L10" s="5">
        <f t="shared" si="4"/>
        <v>0</v>
      </c>
      <c r="M10" s="6" t="str">
        <f t="shared" si="5"/>
        <v/>
      </c>
      <c r="N10" s="4"/>
      <c r="O10" s="4"/>
      <c r="P10" s="5">
        <f t="shared" si="6"/>
        <v>0</v>
      </c>
      <c r="Q10" s="6" t="str">
        <f t="shared" si="7"/>
        <v/>
      </c>
      <c r="R10" s="4"/>
      <c r="S10" s="4"/>
      <c r="T10" s="5">
        <f t="shared" si="8"/>
        <v>0</v>
      </c>
      <c r="U10" s="6" t="str">
        <f t="shared" si="9"/>
        <v/>
      </c>
      <c r="V10" s="4"/>
      <c r="W10" s="4"/>
      <c r="X10" s="5">
        <f t="shared" si="10"/>
        <v>0</v>
      </c>
      <c r="Y10" s="6" t="str">
        <f t="shared" si="11"/>
        <v/>
      </c>
      <c r="Z10" s="4"/>
      <c r="AA10" s="4"/>
      <c r="AB10" s="5">
        <f t="shared" si="12"/>
        <v>0</v>
      </c>
      <c r="AC10" s="6" t="str">
        <f t="shared" si="13"/>
        <v/>
      </c>
      <c r="AD10" s="4"/>
      <c r="AE10" s="4"/>
      <c r="AF10" s="5">
        <f t="shared" si="14"/>
        <v>0</v>
      </c>
      <c r="AG10" s="6" t="str">
        <f t="shared" si="15"/>
        <v/>
      </c>
      <c r="AH10" s="4"/>
      <c r="AI10" s="4"/>
      <c r="AJ10" s="5">
        <f t="shared" si="16"/>
        <v>0</v>
      </c>
      <c r="AK10" s="6" t="str">
        <f t="shared" si="17"/>
        <v/>
      </c>
      <c r="AL10" s="4"/>
      <c r="AM10" s="4"/>
      <c r="AN10" s="5">
        <f t="shared" si="18"/>
        <v>0</v>
      </c>
      <c r="AO10" s="6" t="str">
        <f t="shared" si="19"/>
        <v/>
      </c>
      <c r="AP10" s="4"/>
      <c r="AQ10" s="4"/>
      <c r="AR10" s="5">
        <f t="shared" si="20"/>
        <v>0</v>
      </c>
      <c r="AS10" s="6" t="str">
        <f t="shared" si="21"/>
        <v/>
      </c>
      <c r="AT10" s="4"/>
      <c r="AU10" s="4"/>
      <c r="AV10" s="5">
        <f t="shared" si="22"/>
        <v>0</v>
      </c>
      <c r="AW10" s="6" t="str">
        <f t="shared" si="23"/>
        <v/>
      </c>
      <c r="AX10" s="5">
        <f t="shared" si="24"/>
        <v>0</v>
      </c>
      <c r="AY10" s="19">
        <f t="shared" si="25"/>
        <v>0</v>
      </c>
      <c r="AZ10" s="5">
        <f t="shared" si="26"/>
        <v>0</v>
      </c>
      <c r="BA10" s="6" t="str">
        <f t="shared" si="27"/>
        <v/>
      </c>
    </row>
    <row r="11" spans="1:53" x14ac:dyDescent="0.25">
      <c r="A11" s="3" t="s">
        <v>21</v>
      </c>
      <c r="B11" s="4"/>
      <c r="C11" s="5">
        <f>0</f>
        <v>0</v>
      </c>
      <c r="D11" s="5">
        <f t="shared" si="0"/>
        <v>0</v>
      </c>
      <c r="E11" s="6" t="str">
        <f t="shared" si="1"/>
        <v/>
      </c>
      <c r="F11" s="5">
        <f>32953.41</f>
        <v>32953.410000000003</v>
      </c>
      <c r="G11" s="5">
        <f>38750</f>
        <v>38750</v>
      </c>
      <c r="H11" s="5">
        <f t="shared" si="2"/>
        <v>-5796.5899999999965</v>
      </c>
      <c r="I11" s="6">
        <f t="shared" si="3"/>
        <v>0.8504105806451614</v>
      </c>
      <c r="J11" s="4"/>
      <c r="K11" s="5">
        <f>0</f>
        <v>0</v>
      </c>
      <c r="L11" s="5">
        <f t="shared" si="4"/>
        <v>0</v>
      </c>
      <c r="M11" s="6" t="str">
        <f t="shared" si="5"/>
        <v/>
      </c>
      <c r="N11" s="5">
        <f>30406.82</f>
        <v>30406.82</v>
      </c>
      <c r="O11" s="5">
        <f>38750</f>
        <v>38750</v>
      </c>
      <c r="P11" s="5">
        <f t="shared" si="6"/>
        <v>-8343.18</v>
      </c>
      <c r="Q11" s="6">
        <f t="shared" si="7"/>
        <v>0.78469212903225805</v>
      </c>
      <c r="R11" s="4"/>
      <c r="S11" s="5">
        <f>0</f>
        <v>0</v>
      </c>
      <c r="T11" s="5">
        <f t="shared" si="8"/>
        <v>0</v>
      </c>
      <c r="U11" s="6" t="str">
        <f t="shared" si="9"/>
        <v/>
      </c>
      <c r="V11" s="4"/>
      <c r="W11" s="5">
        <f>0</f>
        <v>0</v>
      </c>
      <c r="X11" s="5">
        <f t="shared" si="10"/>
        <v>0</v>
      </c>
      <c r="Y11" s="6" t="str">
        <f t="shared" si="11"/>
        <v/>
      </c>
      <c r="Z11" s="4"/>
      <c r="AA11" s="5">
        <f>38750</f>
        <v>38750</v>
      </c>
      <c r="AB11" s="5">
        <f t="shared" si="12"/>
        <v>-38750</v>
      </c>
      <c r="AC11" s="6">
        <f t="shared" si="13"/>
        <v>0</v>
      </c>
      <c r="AD11" s="5">
        <f>34312.8</f>
        <v>34312.800000000003</v>
      </c>
      <c r="AE11" s="5">
        <f>0</f>
        <v>0</v>
      </c>
      <c r="AF11" s="5">
        <f t="shared" si="14"/>
        <v>34312.800000000003</v>
      </c>
      <c r="AG11" s="6" t="str">
        <f t="shared" si="15"/>
        <v/>
      </c>
      <c r="AH11" s="4"/>
      <c r="AI11" s="5">
        <f>0</f>
        <v>0</v>
      </c>
      <c r="AJ11" s="5">
        <f t="shared" si="16"/>
        <v>0</v>
      </c>
      <c r="AK11" s="6" t="str">
        <f t="shared" si="17"/>
        <v/>
      </c>
      <c r="AL11" s="4"/>
      <c r="AM11" s="5">
        <f>38750</f>
        <v>38750</v>
      </c>
      <c r="AN11" s="5">
        <f t="shared" si="18"/>
        <v>-38750</v>
      </c>
      <c r="AO11" s="6">
        <f t="shared" si="19"/>
        <v>0</v>
      </c>
      <c r="AP11" s="4"/>
      <c r="AQ11" s="5">
        <f>0</f>
        <v>0</v>
      </c>
      <c r="AR11" s="5">
        <f t="shared" si="20"/>
        <v>0</v>
      </c>
      <c r="AS11" s="6" t="str">
        <f t="shared" si="21"/>
        <v/>
      </c>
      <c r="AT11" s="4"/>
      <c r="AU11" s="5">
        <f>0</f>
        <v>0</v>
      </c>
      <c r="AV11" s="5">
        <f t="shared" si="22"/>
        <v>0</v>
      </c>
      <c r="AW11" s="6" t="str">
        <f t="shared" si="23"/>
        <v/>
      </c>
      <c r="AX11" s="5">
        <f t="shared" si="24"/>
        <v>97673.03</v>
      </c>
      <c r="AY11" s="19">
        <f t="shared" si="25"/>
        <v>155000</v>
      </c>
      <c r="AZ11" s="5">
        <f t="shared" si="26"/>
        <v>-57326.97</v>
      </c>
      <c r="BA11" s="6">
        <f t="shared" si="27"/>
        <v>0.63014858064516133</v>
      </c>
    </row>
    <row r="12" spans="1:53" x14ac:dyDescent="0.25">
      <c r="A12" s="3" t="s">
        <v>22</v>
      </c>
      <c r="B12" s="7">
        <f>(B10)+(B11)</f>
        <v>0</v>
      </c>
      <c r="C12" s="7">
        <f>(C10)+(C11)</f>
        <v>0</v>
      </c>
      <c r="D12" s="7">
        <f t="shared" si="0"/>
        <v>0</v>
      </c>
      <c r="E12" s="8" t="str">
        <f t="shared" si="1"/>
        <v/>
      </c>
      <c r="F12" s="7">
        <f>(F10)+(F11)</f>
        <v>32953.410000000003</v>
      </c>
      <c r="G12" s="7">
        <f>(G10)+(G11)</f>
        <v>38750</v>
      </c>
      <c r="H12" s="7">
        <f t="shared" si="2"/>
        <v>-5796.5899999999965</v>
      </c>
      <c r="I12" s="8">
        <f t="shared" si="3"/>
        <v>0.8504105806451614</v>
      </c>
      <c r="J12" s="7">
        <f>(J10)+(J11)</f>
        <v>0</v>
      </c>
      <c r="K12" s="7">
        <f>(K10)+(K11)</f>
        <v>0</v>
      </c>
      <c r="L12" s="7">
        <f t="shared" si="4"/>
        <v>0</v>
      </c>
      <c r="M12" s="8" t="str">
        <f t="shared" si="5"/>
        <v/>
      </c>
      <c r="N12" s="7">
        <f>(N10)+(N11)</f>
        <v>30406.82</v>
      </c>
      <c r="O12" s="7">
        <f>(O10)+(O11)</f>
        <v>38750</v>
      </c>
      <c r="P12" s="7">
        <f t="shared" si="6"/>
        <v>-8343.18</v>
      </c>
      <c r="Q12" s="8">
        <f t="shared" si="7"/>
        <v>0.78469212903225805</v>
      </c>
      <c r="R12" s="7">
        <f>(R10)+(R11)</f>
        <v>0</v>
      </c>
      <c r="S12" s="7">
        <f>(S10)+(S11)</f>
        <v>0</v>
      </c>
      <c r="T12" s="7">
        <f t="shared" si="8"/>
        <v>0</v>
      </c>
      <c r="U12" s="8" t="str">
        <f t="shared" si="9"/>
        <v/>
      </c>
      <c r="V12" s="7">
        <f>(V10)+(V11)</f>
        <v>0</v>
      </c>
      <c r="W12" s="7">
        <f>(W10)+(W11)</f>
        <v>0</v>
      </c>
      <c r="X12" s="7">
        <f t="shared" si="10"/>
        <v>0</v>
      </c>
      <c r="Y12" s="8" t="str">
        <f t="shared" si="11"/>
        <v/>
      </c>
      <c r="Z12" s="7">
        <f>(Z10)+(Z11)</f>
        <v>0</v>
      </c>
      <c r="AA12" s="7">
        <f>(AA10)+(AA11)</f>
        <v>38750</v>
      </c>
      <c r="AB12" s="7">
        <f t="shared" si="12"/>
        <v>-38750</v>
      </c>
      <c r="AC12" s="8">
        <f t="shared" si="13"/>
        <v>0</v>
      </c>
      <c r="AD12" s="7">
        <f>(AD10)+(AD11)</f>
        <v>34312.800000000003</v>
      </c>
      <c r="AE12" s="7">
        <f>(AE10)+(AE11)</f>
        <v>0</v>
      </c>
      <c r="AF12" s="7">
        <f t="shared" si="14"/>
        <v>34312.800000000003</v>
      </c>
      <c r="AG12" s="8" t="str">
        <f t="shared" si="15"/>
        <v/>
      </c>
      <c r="AH12" s="7">
        <f>(AH10)+(AH11)</f>
        <v>0</v>
      </c>
      <c r="AI12" s="7">
        <f>(AI10)+(AI11)</f>
        <v>0</v>
      </c>
      <c r="AJ12" s="7">
        <f t="shared" si="16"/>
        <v>0</v>
      </c>
      <c r="AK12" s="8" t="str">
        <f t="shared" si="17"/>
        <v/>
      </c>
      <c r="AL12" s="7">
        <f>(AL10)+(AL11)</f>
        <v>0</v>
      </c>
      <c r="AM12" s="7">
        <f>(AM10)+(AM11)</f>
        <v>38750</v>
      </c>
      <c r="AN12" s="7">
        <f t="shared" si="18"/>
        <v>-38750</v>
      </c>
      <c r="AO12" s="8">
        <f t="shared" si="19"/>
        <v>0</v>
      </c>
      <c r="AP12" s="7">
        <f>(AP10)+(AP11)</f>
        <v>0</v>
      </c>
      <c r="AQ12" s="7">
        <f>(AQ10)+(AQ11)</f>
        <v>0</v>
      </c>
      <c r="AR12" s="7">
        <f t="shared" si="20"/>
        <v>0</v>
      </c>
      <c r="AS12" s="8" t="str">
        <f t="shared" si="21"/>
        <v/>
      </c>
      <c r="AT12" s="7">
        <f>(AT10)+(AT11)</f>
        <v>0</v>
      </c>
      <c r="AU12" s="7">
        <f>(AU10)+(AU11)</f>
        <v>0</v>
      </c>
      <c r="AV12" s="7">
        <f t="shared" si="22"/>
        <v>0</v>
      </c>
      <c r="AW12" s="8" t="str">
        <f t="shared" si="23"/>
        <v/>
      </c>
      <c r="AX12" s="7">
        <f t="shared" si="24"/>
        <v>97673.03</v>
      </c>
      <c r="AY12" s="20">
        <f t="shared" si="25"/>
        <v>155000</v>
      </c>
      <c r="AZ12" s="7">
        <f t="shared" si="26"/>
        <v>-57326.97</v>
      </c>
      <c r="BA12" s="8">
        <f t="shared" si="27"/>
        <v>0.63014858064516133</v>
      </c>
    </row>
    <row r="13" spans="1:53" x14ac:dyDescent="0.25">
      <c r="A13" s="3" t="s">
        <v>23</v>
      </c>
      <c r="B13" s="5">
        <f>3333.34</f>
        <v>3333.34</v>
      </c>
      <c r="C13" s="5">
        <f>0</f>
        <v>0</v>
      </c>
      <c r="D13" s="5">
        <f t="shared" si="0"/>
        <v>3333.34</v>
      </c>
      <c r="E13" s="6" t="str">
        <f t="shared" si="1"/>
        <v/>
      </c>
      <c r="F13" s="5">
        <f>3333.34</f>
        <v>3333.34</v>
      </c>
      <c r="G13" s="5">
        <f>0</f>
        <v>0</v>
      </c>
      <c r="H13" s="5">
        <f t="shared" si="2"/>
        <v>3333.34</v>
      </c>
      <c r="I13" s="6" t="str">
        <f t="shared" si="3"/>
        <v/>
      </c>
      <c r="J13" s="5">
        <f>3333.34</f>
        <v>3333.34</v>
      </c>
      <c r="K13" s="5">
        <f>0</f>
        <v>0</v>
      </c>
      <c r="L13" s="5">
        <f t="shared" si="4"/>
        <v>3333.34</v>
      </c>
      <c r="M13" s="6" t="str">
        <f t="shared" si="5"/>
        <v/>
      </c>
      <c r="N13" s="5">
        <f>3333.34</f>
        <v>3333.34</v>
      </c>
      <c r="O13" s="5">
        <f>0</f>
        <v>0</v>
      </c>
      <c r="P13" s="5">
        <f t="shared" si="6"/>
        <v>3333.34</v>
      </c>
      <c r="Q13" s="6" t="str">
        <f t="shared" si="7"/>
        <v/>
      </c>
      <c r="R13" s="5">
        <f>3333.34</f>
        <v>3333.34</v>
      </c>
      <c r="S13" s="5">
        <f>0</f>
        <v>0</v>
      </c>
      <c r="T13" s="5">
        <f t="shared" si="8"/>
        <v>3333.34</v>
      </c>
      <c r="U13" s="6" t="str">
        <f t="shared" si="9"/>
        <v/>
      </c>
      <c r="V13" s="5">
        <f>3333.34</f>
        <v>3333.34</v>
      </c>
      <c r="W13" s="5">
        <f>40000</f>
        <v>40000</v>
      </c>
      <c r="X13" s="5">
        <f t="shared" si="10"/>
        <v>-36666.660000000003</v>
      </c>
      <c r="Y13" s="6">
        <f t="shared" si="11"/>
        <v>8.3333500000000005E-2</v>
      </c>
      <c r="Z13" s="5">
        <f>3333.34</f>
        <v>3333.34</v>
      </c>
      <c r="AA13" s="5">
        <f>0</f>
        <v>0</v>
      </c>
      <c r="AB13" s="5">
        <f t="shared" si="12"/>
        <v>3333.34</v>
      </c>
      <c r="AC13" s="6" t="str">
        <f t="shared" si="13"/>
        <v/>
      </c>
      <c r="AD13" s="5">
        <f>3333.34</f>
        <v>3333.34</v>
      </c>
      <c r="AE13" s="5">
        <f>0</f>
        <v>0</v>
      </c>
      <c r="AF13" s="5">
        <f t="shared" si="14"/>
        <v>3333.34</v>
      </c>
      <c r="AG13" s="6" t="str">
        <f t="shared" si="15"/>
        <v/>
      </c>
      <c r="AH13" s="5">
        <f>3333.34</f>
        <v>3333.34</v>
      </c>
      <c r="AI13" s="5">
        <f>0</f>
        <v>0</v>
      </c>
      <c r="AJ13" s="5">
        <f t="shared" si="16"/>
        <v>3333.34</v>
      </c>
      <c r="AK13" s="6" t="str">
        <f t="shared" si="17"/>
        <v/>
      </c>
      <c r="AL13" s="5">
        <f>3333.34</f>
        <v>3333.34</v>
      </c>
      <c r="AM13" s="5">
        <f>0</f>
        <v>0</v>
      </c>
      <c r="AN13" s="5">
        <f t="shared" si="18"/>
        <v>3333.34</v>
      </c>
      <c r="AO13" s="6" t="str">
        <f t="shared" si="19"/>
        <v/>
      </c>
      <c r="AP13" s="5">
        <f>3333.34</f>
        <v>3333.34</v>
      </c>
      <c r="AQ13" s="5">
        <f>0</f>
        <v>0</v>
      </c>
      <c r="AR13" s="5">
        <f t="shared" si="20"/>
        <v>3333.34</v>
      </c>
      <c r="AS13" s="6" t="str">
        <f t="shared" si="21"/>
        <v/>
      </c>
      <c r="AT13" s="5">
        <f>3333.26</f>
        <v>3333.26</v>
      </c>
      <c r="AU13" s="5">
        <f>0</f>
        <v>0</v>
      </c>
      <c r="AV13" s="5">
        <f t="shared" si="22"/>
        <v>3333.26</v>
      </c>
      <c r="AW13" s="6" t="str">
        <f t="shared" si="23"/>
        <v/>
      </c>
      <c r="AX13" s="5">
        <f t="shared" si="24"/>
        <v>40000.000000000007</v>
      </c>
      <c r="AY13" s="19">
        <f t="shared" si="25"/>
        <v>40000</v>
      </c>
      <c r="AZ13" s="5">
        <f t="shared" si="26"/>
        <v>0</v>
      </c>
      <c r="BA13" s="6">
        <f t="shared" si="27"/>
        <v>1.0000000000000002</v>
      </c>
    </row>
    <row r="14" spans="1:53" x14ac:dyDescent="0.25">
      <c r="A14" s="3" t="s">
        <v>24</v>
      </c>
      <c r="B14" s="7">
        <f>(((B8)+(B9))+(B12))+(B13)</f>
        <v>3873.34</v>
      </c>
      <c r="C14" s="7">
        <f>(((C8)+(C9))+(C12))+(C13)</f>
        <v>3600</v>
      </c>
      <c r="D14" s="7">
        <f t="shared" si="0"/>
        <v>273.34000000000015</v>
      </c>
      <c r="E14" s="8">
        <f t="shared" si="1"/>
        <v>1.0759277777777778</v>
      </c>
      <c r="F14" s="7">
        <f>(((F8)+(F9))+(F12))+(F13)</f>
        <v>45935.680000000008</v>
      </c>
      <c r="G14" s="7">
        <f>(((G8)+(G9))+(G12))+(G13)</f>
        <v>47250</v>
      </c>
      <c r="H14" s="7">
        <f t="shared" si="2"/>
        <v>-1314.3199999999924</v>
      </c>
      <c r="I14" s="8">
        <f t="shared" si="3"/>
        <v>0.97218370370370388</v>
      </c>
      <c r="J14" s="7">
        <f>(((J8)+(J9))+(J12))+(J13)</f>
        <v>3895.1400000000003</v>
      </c>
      <c r="K14" s="7">
        <f>(((K8)+(K9))+(K12))+(K13)</f>
        <v>2300</v>
      </c>
      <c r="L14" s="7">
        <f t="shared" si="4"/>
        <v>1595.1400000000003</v>
      </c>
      <c r="M14" s="8">
        <f t="shared" si="5"/>
        <v>1.6935391304347827</v>
      </c>
      <c r="N14" s="7">
        <f>(((N8)+(N9))+(N12))+(N13)</f>
        <v>34813.279999999999</v>
      </c>
      <c r="O14" s="7">
        <f>(((O8)+(O9))+(O12))+(O13)</f>
        <v>44750</v>
      </c>
      <c r="P14" s="7">
        <f t="shared" si="6"/>
        <v>-9936.7200000000012</v>
      </c>
      <c r="Q14" s="8">
        <f t="shared" si="7"/>
        <v>0.77795039106145247</v>
      </c>
      <c r="R14" s="7">
        <f>(((R8)+(R9))+(R12))+(R13)</f>
        <v>3635.7400000000002</v>
      </c>
      <c r="S14" s="7">
        <f>(((S8)+(S9))+(S12))+(S13)</f>
        <v>1000</v>
      </c>
      <c r="T14" s="7">
        <f t="shared" si="8"/>
        <v>2635.7400000000002</v>
      </c>
      <c r="U14" s="8">
        <f t="shared" si="9"/>
        <v>3.6357400000000002</v>
      </c>
      <c r="V14" s="7">
        <f>(((V8)+(V9))+(V12))+(V13)</f>
        <v>11263.51</v>
      </c>
      <c r="W14" s="7">
        <f>(((W8)+(W9))+(W12))+(W13)</f>
        <v>47400</v>
      </c>
      <c r="X14" s="7">
        <f t="shared" si="10"/>
        <v>-36136.49</v>
      </c>
      <c r="Y14" s="8">
        <f t="shared" si="11"/>
        <v>0.23762679324894515</v>
      </c>
      <c r="Z14" s="7">
        <f>(((Z8)+(Z9))+(Z12))+(Z13)</f>
        <v>7190.07</v>
      </c>
      <c r="AA14" s="7">
        <f>(((AA8)+(AA9))+(AA12))+(AA13)</f>
        <v>38850</v>
      </c>
      <c r="AB14" s="7">
        <f t="shared" si="12"/>
        <v>-31659.93</v>
      </c>
      <c r="AC14" s="8">
        <f t="shared" si="13"/>
        <v>0.18507258687258688</v>
      </c>
      <c r="AD14" s="7">
        <f>(((AD8)+(AD9))+(AD12))+(AD13)</f>
        <v>37646.14</v>
      </c>
      <c r="AE14" s="7">
        <f>(((AE8)+(AE9))+(AE12))+(AE13)</f>
        <v>500</v>
      </c>
      <c r="AF14" s="7">
        <f t="shared" si="14"/>
        <v>37146.14</v>
      </c>
      <c r="AG14" s="8">
        <f t="shared" si="15"/>
        <v>75.292280000000005</v>
      </c>
      <c r="AH14" s="7">
        <f>(((AH8)+(AH9))+(AH12))+(AH13)</f>
        <v>3333.34</v>
      </c>
      <c r="AI14" s="7">
        <f>(((AI8)+(AI9))+(AI12))+(AI13)</f>
        <v>800</v>
      </c>
      <c r="AJ14" s="7">
        <f t="shared" si="16"/>
        <v>2533.34</v>
      </c>
      <c r="AK14" s="8">
        <f t="shared" si="17"/>
        <v>4.1666750000000006</v>
      </c>
      <c r="AL14" s="7">
        <f>(((AL8)+(AL9))+(AL12))+(AL13)</f>
        <v>3333.34</v>
      </c>
      <c r="AM14" s="7">
        <f>(((AM8)+(AM9))+(AM12))+(AM13)</f>
        <v>39550</v>
      </c>
      <c r="AN14" s="7">
        <f t="shared" si="18"/>
        <v>-36216.660000000003</v>
      </c>
      <c r="AO14" s="8">
        <f t="shared" si="19"/>
        <v>8.4281668773704174E-2</v>
      </c>
      <c r="AP14" s="7">
        <f>(((AP8)+(AP9))+(AP12))+(AP13)</f>
        <v>3333.34</v>
      </c>
      <c r="AQ14" s="7">
        <f>(((AQ8)+(AQ9))+(AQ12))+(AQ13)</f>
        <v>500</v>
      </c>
      <c r="AR14" s="7">
        <f t="shared" si="20"/>
        <v>2833.34</v>
      </c>
      <c r="AS14" s="8">
        <f t="shared" si="21"/>
        <v>6.6666800000000004</v>
      </c>
      <c r="AT14" s="7">
        <f>(((AT8)+(AT9))+(AT12))+(AT13)</f>
        <v>3333.26</v>
      </c>
      <c r="AU14" s="7">
        <f>(((AU8)+(AU9))+(AU12))+(AU13)</f>
        <v>500</v>
      </c>
      <c r="AV14" s="7">
        <f t="shared" si="22"/>
        <v>2833.26</v>
      </c>
      <c r="AW14" s="8">
        <f t="shared" si="23"/>
        <v>6.6665200000000002</v>
      </c>
      <c r="AX14" s="7">
        <f t="shared" si="24"/>
        <v>161586.18000000002</v>
      </c>
      <c r="AY14" s="20">
        <f t="shared" si="25"/>
        <v>227000</v>
      </c>
      <c r="AZ14" s="7">
        <f t="shared" si="26"/>
        <v>-65413.819999999978</v>
      </c>
      <c r="BA14" s="8">
        <f t="shared" si="27"/>
        <v>0.71183339207048468</v>
      </c>
    </row>
    <row r="15" spans="1:53" x14ac:dyDescent="0.25">
      <c r="A15" s="3" t="s">
        <v>25</v>
      </c>
      <c r="B15" s="5">
        <f>19.68</f>
        <v>19.68</v>
      </c>
      <c r="C15" s="4"/>
      <c r="D15" s="5">
        <f t="shared" si="0"/>
        <v>19.68</v>
      </c>
      <c r="E15" s="6" t="str">
        <f t="shared" si="1"/>
        <v/>
      </c>
      <c r="F15" s="5">
        <f>21.95</f>
        <v>21.95</v>
      </c>
      <c r="G15" s="4"/>
      <c r="H15" s="5">
        <f t="shared" si="2"/>
        <v>21.95</v>
      </c>
      <c r="I15" s="6" t="str">
        <f t="shared" si="3"/>
        <v/>
      </c>
      <c r="J15" s="5">
        <f>20.64</f>
        <v>20.64</v>
      </c>
      <c r="K15" s="4"/>
      <c r="L15" s="5">
        <f t="shared" si="4"/>
        <v>20.64</v>
      </c>
      <c r="M15" s="6" t="str">
        <f t="shared" si="5"/>
        <v/>
      </c>
      <c r="N15" s="5">
        <f>29.22</f>
        <v>29.22</v>
      </c>
      <c r="O15" s="4"/>
      <c r="P15" s="5">
        <f t="shared" si="6"/>
        <v>29.22</v>
      </c>
      <c r="Q15" s="6" t="str">
        <f t="shared" si="7"/>
        <v/>
      </c>
      <c r="R15" s="5">
        <f>118.24</f>
        <v>118.24</v>
      </c>
      <c r="S15" s="4"/>
      <c r="T15" s="5">
        <f t="shared" si="8"/>
        <v>118.24</v>
      </c>
      <c r="U15" s="6" t="str">
        <f t="shared" si="9"/>
        <v/>
      </c>
      <c r="V15" s="5">
        <f>4.02</f>
        <v>4.0199999999999996</v>
      </c>
      <c r="W15" s="4"/>
      <c r="X15" s="5">
        <f t="shared" si="10"/>
        <v>4.0199999999999996</v>
      </c>
      <c r="Y15" s="6" t="str">
        <f t="shared" si="11"/>
        <v/>
      </c>
      <c r="Z15" s="5">
        <f>2.75</f>
        <v>2.75</v>
      </c>
      <c r="AA15" s="4"/>
      <c r="AB15" s="5">
        <f t="shared" si="12"/>
        <v>2.75</v>
      </c>
      <c r="AC15" s="6" t="str">
        <f t="shared" si="13"/>
        <v/>
      </c>
      <c r="AD15" s="4"/>
      <c r="AE15" s="4"/>
      <c r="AF15" s="5">
        <f t="shared" si="14"/>
        <v>0</v>
      </c>
      <c r="AG15" s="6" t="str">
        <f t="shared" si="15"/>
        <v/>
      </c>
      <c r="AH15" s="4"/>
      <c r="AI15" s="4"/>
      <c r="AJ15" s="5">
        <f t="shared" si="16"/>
        <v>0</v>
      </c>
      <c r="AK15" s="6" t="str">
        <f t="shared" si="17"/>
        <v/>
      </c>
      <c r="AL15" s="4"/>
      <c r="AM15" s="4"/>
      <c r="AN15" s="5">
        <f t="shared" si="18"/>
        <v>0</v>
      </c>
      <c r="AO15" s="6" t="str">
        <f t="shared" si="19"/>
        <v/>
      </c>
      <c r="AP15" s="4"/>
      <c r="AQ15" s="4"/>
      <c r="AR15" s="5">
        <f t="shared" si="20"/>
        <v>0</v>
      </c>
      <c r="AS15" s="6" t="str">
        <f t="shared" si="21"/>
        <v/>
      </c>
      <c r="AT15" s="4"/>
      <c r="AU15" s="4"/>
      <c r="AV15" s="5">
        <f t="shared" si="22"/>
        <v>0</v>
      </c>
      <c r="AW15" s="6" t="str">
        <f t="shared" si="23"/>
        <v/>
      </c>
      <c r="AX15" s="5">
        <f t="shared" si="24"/>
        <v>216.5</v>
      </c>
      <c r="AY15" s="19">
        <f t="shared" si="25"/>
        <v>0</v>
      </c>
      <c r="AZ15" s="5">
        <f t="shared" si="26"/>
        <v>216.5</v>
      </c>
      <c r="BA15" s="6" t="str">
        <f t="shared" si="27"/>
        <v/>
      </c>
    </row>
    <row r="16" spans="1:53" x14ac:dyDescent="0.25">
      <c r="A16" s="3" t="s">
        <v>26</v>
      </c>
      <c r="B16" s="7">
        <f>(B14)+(B15)</f>
        <v>3893.02</v>
      </c>
      <c r="C16" s="7">
        <f>(C14)+(C15)</f>
        <v>3600</v>
      </c>
      <c r="D16" s="7">
        <f t="shared" si="0"/>
        <v>293.02</v>
      </c>
      <c r="E16" s="8">
        <f t="shared" si="1"/>
        <v>1.0813944444444445</v>
      </c>
      <c r="F16" s="7">
        <f>(F14)+(F15)</f>
        <v>45957.630000000005</v>
      </c>
      <c r="G16" s="7">
        <f>(G14)+(G15)</f>
        <v>47250</v>
      </c>
      <c r="H16" s="7">
        <f t="shared" si="2"/>
        <v>-1292.3699999999953</v>
      </c>
      <c r="I16" s="8">
        <f t="shared" si="3"/>
        <v>0.97264825396825405</v>
      </c>
      <c r="J16" s="7">
        <f>(J14)+(J15)</f>
        <v>3915.78</v>
      </c>
      <c r="K16" s="7">
        <f>(K14)+(K15)</f>
        <v>2300</v>
      </c>
      <c r="L16" s="7">
        <f t="shared" si="4"/>
        <v>1615.7800000000002</v>
      </c>
      <c r="M16" s="8">
        <f t="shared" si="5"/>
        <v>1.7025130434782609</v>
      </c>
      <c r="N16" s="7">
        <f>(N14)+(N15)</f>
        <v>34842.5</v>
      </c>
      <c r="O16" s="7">
        <f>(O14)+(O15)</f>
        <v>44750</v>
      </c>
      <c r="P16" s="7">
        <f t="shared" si="6"/>
        <v>-9907.5</v>
      </c>
      <c r="Q16" s="8">
        <f t="shared" si="7"/>
        <v>0.77860335195530728</v>
      </c>
      <c r="R16" s="7">
        <f>(R14)+(R15)</f>
        <v>3753.98</v>
      </c>
      <c r="S16" s="7">
        <f>(S14)+(S15)</f>
        <v>1000</v>
      </c>
      <c r="T16" s="7">
        <f t="shared" si="8"/>
        <v>2753.98</v>
      </c>
      <c r="U16" s="8">
        <f t="shared" si="9"/>
        <v>3.7539799999999999</v>
      </c>
      <c r="V16" s="7">
        <f>(V14)+(V15)</f>
        <v>11267.53</v>
      </c>
      <c r="W16" s="7">
        <f>(W14)+(W15)</f>
        <v>47400</v>
      </c>
      <c r="X16" s="7">
        <f t="shared" si="10"/>
        <v>-36132.47</v>
      </c>
      <c r="Y16" s="8">
        <f t="shared" si="11"/>
        <v>0.23771160337552744</v>
      </c>
      <c r="Z16" s="7">
        <f>(Z14)+(Z15)</f>
        <v>7192.82</v>
      </c>
      <c r="AA16" s="7">
        <f>(AA14)+(AA15)</f>
        <v>38850</v>
      </c>
      <c r="AB16" s="7">
        <f t="shared" si="12"/>
        <v>-31657.18</v>
      </c>
      <c r="AC16" s="8">
        <f t="shared" si="13"/>
        <v>0.18514337194337194</v>
      </c>
      <c r="AD16" s="7">
        <f>(AD14)+(AD15)</f>
        <v>37646.14</v>
      </c>
      <c r="AE16" s="7">
        <f>(AE14)+(AE15)</f>
        <v>500</v>
      </c>
      <c r="AF16" s="7">
        <f t="shared" si="14"/>
        <v>37146.14</v>
      </c>
      <c r="AG16" s="8">
        <f t="shared" si="15"/>
        <v>75.292280000000005</v>
      </c>
      <c r="AH16" s="7">
        <f>(AH14)+(AH15)</f>
        <v>3333.34</v>
      </c>
      <c r="AI16" s="7">
        <f>(AI14)+(AI15)</f>
        <v>800</v>
      </c>
      <c r="AJ16" s="7">
        <f t="shared" si="16"/>
        <v>2533.34</v>
      </c>
      <c r="AK16" s="8">
        <f t="shared" si="17"/>
        <v>4.1666750000000006</v>
      </c>
      <c r="AL16" s="7">
        <f>(AL14)+(AL15)</f>
        <v>3333.34</v>
      </c>
      <c r="AM16" s="7">
        <f>(AM14)+(AM15)</f>
        <v>39550</v>
      </c>
      <c r="AN16" s="7">
        <f t="shared" si="18"/>
        <v>-36216.660000000003</v>
      </c>
      <c r="AO16" s="8">
        <f t="shared" si="19"/>
        <v>8.4281668773704174E-2</v>
      </c>
      <c r="AP16" s="7">
        <f>(AP14)+(AP15)</f>
        <v>3333.34</v>
      </c>
      <c r="AQ16" s="7">
        <f>(AQ14)+(AQ15)</f>
        <v>500</v>
      </c>
      <c r="AR16" s="7">
        <f t="shared" si="20"/>
        <v>2833.34</v>
      </c>
      <c r="AS16" s="8">
        <f t="shared" si="21"/>
        <v>6.6666800000000004</v>
      </c>
      <c r="AT16" s="7">
        <f>(AT14)+(AT15)</f>
        <v>3333.26</v>
      </c>
      <c r="AU16" s="7">
        <f>(AU14)+(AU15)</f>
        <v>500</v>
      </c>
      <c r="AV16" s="7">
        <f t="shared" si="22"/>
        <v>2833.26</v>
      </c>
      <c r="AW16" s="8">
        <f t="shared" si="23"/>
        <v>6.6665200000000002</v>
      </c>
      <c r="AX16" s="7">
        <f t="shared" si="24"/>
        <v>161802.67999999996</v>
      </c>
      <c r="AY16" s="20">
        <f t="shared" si="25"/>
        <v>227000</v>
      </c>
      <c r="AZ16" s="7">
        <f t="shared" si="26"/>
        <v>-65197.320000000036</v>
      </c>
      <c r="BA16" s="8">
        <f t="shared" si="27"/>
        <v>0.71278713656387649</v>
      </c>
    </row>
    <row r="17" spans="1:53" x14ac:dyDescent="0.25">
      <c r="A17" s="3" t="s">
        <v>27</v>
      </c>
      <c r="B17" s="7">
        <f>(B16)-(0)</f>
        <v>3893.02</v>
      </c>
      <c r="C17" s="7">
        <f>(C16)-(0)</f>
        <v>3600</v>
      </c>
      <c r="D17" s="7">
        <f t="shared" si="0"/>
        <v>293.02</v>
      </c>
      <c r="E17" s="8">
        <f t="shared" si="1"/>
        <v>1.0813944444444445</v>
      </c>
      <c r="F17" s="7">
        <f>(F16)-(0)</f>
        <v>45957.630000000005</v>
      </c>
      <c r="G17" s="7">
        <f>(G16)-(0)</f>
        <v>47250</v>
      </c>
      <c r="H17" s="7">
        <f t="shared" si="2"/>
        <v>-1292.3699999999953</v>
      </c>
      <c r="I17" s="8">
        <f t="shared" si="3"/>
        <v>0.97264825396825405</v>
      </c>
      <c r="J17" s="7">
        <f>(J16)-(0)</f>
        <v>3915.78</v>
      </c>
      <c r="K17" s="7">
        <f>(K16)-(0)</f>
        <v>2300</v>
      </c>
      <c r="L17" s="7">
        <f t="shared" si="4"/>
        <v>1615.7800000000002</v>
      </c>
      <c r="M17" s="8">
        <f t="shared" si="5"/>
        <v>1.7025130434782609</v>
      </c>
      <c r="N17" s="7">
        <f>(N16)-(0)</f>
        <v>34842.5</v>
      </c>
      <c r="O17" s="7">
        <f>(O16)-(0)</f>
        <v>44750</v>
      </c>
      <c r="P17" s="7">
        <f t="shared" si="6"/>
        <v>-9907.5</v>
      </c>
      <c r="Q17" s="8">
        <f t="shared" si="7"/>
        <v>0.77860335195530728</v>
      </c>
      <c r="R17" s="7">
        <f>(R16)-(0)</f>
        <v>3753.98</v>
      </c>
      <c r="S17" s="7">
        <f>(S16)-(0)</f>
        <v>1000</v>
      </c>
      <c r="T17" s="7">
        <f t="shared" si="8"/>
        <v>2753.98</v>
      </c>
      <c r="U17" s="8">
        <f t="shared" si="9"/>
        <v>3.7539799999999999</v>
      </c>
      <c r="V17" s="7">
        <f>(V16)-(0)</f>
        <v>11267.53</v>
      </c>
      <c r="W17" s="7">
        <f>(W16)-(0)</f>
        <v>47400</v>
      </c>
      <c r="X17" s="7">
        <f t="shared" si="10"/>
        <v>-36132.47</v>
      </c>
      <c r="Y17" s="8">
        <f t="shared" si="11"/>
        <v>0.23771160337552744</v>
      </c>
      <c r="Z17" s="7">
        <f>(Z16)-(0)</f>
        <v>7192.82</v>
      </c>
      <c r="AA17" s="7">
        <f>(AA16)-(0)</f>
        <v>38850</v>
      </c>
      <c r="AB17" s="7">
        <f t="shared" si="12"/>
        <v>-31657.18</v>
      </c>
      <c r="AC17" s="8">
        <f t="shared" si="13"/>
        <v>0.18514337194337194</v>
      </c>
      <c r="AD17" s="7">
        <f>(AD16)-(0)</f>
        <v>37646.14</v>
      </c>
      <c r="AE17" s="7">
        <f>(AE16)-(0)</f>
        <v>500</v>
      </c>
      <c r="AF17" s="7">
        <f t="shared" si="14"/>
        <v>37146.14</v>
      </c>
      <c r="AG17" s="8">
        <f t="shared" si="15"/>
        <v>75.292280000000005</v>
      </c>
      <c r="AH17" s="7">
        <f>(AH16)-(0)</f>
        <v>3333.34</v>
      </c>
      <c r="AI17" s="7">
        <f>(AI16)-(0)</f>
        <v>800</v>
      </c>
      <c r="AJ17" s="7">
        <f t="shared" si="16"/>
        <v>2533.34</v>
      </c>
      <c r="AK17" s="8">
        <f t="shared" si="17"/>
        <v>4.1666750000000006</v>
      </c>
      <c r="AL17" s="7">
        <f>(AL16)-(0)</f>
        <v>3333.34</v>
      </c>
      <c r="AM17" s="7">
        <f>(AM16)-(0)</f>
        <v>39550</v>
      </c>
      <c r="AN17" s="7">
        <f t="shared" si="18"/>
        <v>-36216.660000000003</v>
      </c>
      <c r="AO17" s="8">
        <f t="shared" si="19"/>
        <v>8.4281668773704174E-2</v>
      </c>
      <c r="AP17" s="7">
        <f>(AP16)-(0)</f>
        <v>3333.34</v>
      </c>
      <c r="AQ17" s="7">
        <f>(AQ16)-(0)</f>
        <v>500</v>
      </c>
      <c r="AR17" s="7">
        <f t="shared" si="20"/>
        <v>2833.34</v>
      </c>
      <c r="AS17" s="8">
        <f t="shared" si="21"/>
        <v>6.6666800000000004</v>
      </c>
      <c r="AT17" s="7">
        <f>(AT16)-(0)</f>
        <v>3333.26</v>
      </c>
      <c r="AU17" s="7">
        <f>(AU16)-(0)</f>
        <v>500</v>
      </c>
      <c r="AV17" s="7">
        <f t="shared" si="22"/>
        <v>2833.26</v>
      </c>
      <c r="AW17" s="8">
        <f t="shared" si="23"/>
        <v>6.6665200000000002</v>
      </c>
      <c r="AX17" s="7">
        <f t="shared" si="24"/>
        <v>161802.67999999996</v>
      </c>
      <c r="AY17" s="20">
        <f t="shared" si="25"/>
        <v>227000</v>
      </c>
      <c r="AZ17" s="7">
        <f t="shared" si="26"/>
        <v>-65197.320000000036</v>
      </c>
      <c r="BA17" s="8">
        <f t="shared" si="27"/>
        <v>0.71278713656387649</v>
      </c>
    </row>
    <row r="18" spans="1:53" x14ac:dyDescent="0.25">
      <c r="A18" s="3" t="s">
        <v>28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18"/>
      <c r="AZ18" s="4"/>
      <c r="BA18" s="4"/>
    </row>
    <row r="19" spans="1:53" x14ac:dyDescent="0.25">
      <c r="A19" s="3" t="s">
        <v>29</v>
      </c>
      <c r="B19" s="5">
        <f>55.2</f>
        <v>55.2</v>
      </c>
      <c r="C19" s="5">
        <f>250</f>
        <v>250</v>
      </c>
      <c r="D19" s="5">
        <f t="shared" ref="D19:D61" si="28">(B19)-(C19)</f>
        <v>-194.8</v>
      </c>
      <c r="E19" s="6">
        <f t="shared" ref="E19:E61" si="29">IF(C19=0,"",(B19)/(C19))</f>
        <v>0.22080000000000002</v>
      </c>
      <c r="F19" s="4"/>
      <c r="G19" s="5">
        <f>250</f>
        <v>250</v>
      </c>
      <c r="H19" s="5">
        <f t="shared" ref="H19:H61" si="30">(F19)-(G19)</f>
        <v>-250</v>
      </c>
      <c r="I19" s="6">
        <f t="shared" ref="I19:I61" si="31">IF(G19=0,"",(F19)/(G19))</f>
        <v>0</v>
      </c>
      <c r="J19" s="5">
        <f>433.29</f>
        <v>433.29</v>
      </c>
      <c r="K19" s="5">
        <f>250</f>
        <v>250</v>
      </c>
      <c r="L19" s="5">
        <f t="shared" ref="L19:L61" si="32">(J19)-(K19)</f>
        <v>183.29000000000002</v>
      </c>
      <c r="M19" s="6">
        <f t="shared" ref="M19:M61" si="33">IF(K19=0,"",(J19)/(K19))</f>
        <v>1.73316</v>
      </c>
      <c r="N19" s="5">
        <f>76.44</f>
        <v>76.44</v>
      </c>
      <c r="O19" s="5">
        <f>250</f>
        <v>250</v>
      </c>
      <c r="P19" s="5">
        <f t="shared" ref="P19:P61" si="34">(N19)-(O19)</f>
        <v>-173.56</v>
      </c>
      <c r="Q19" s="6">
        <f t="shared" ref="Q19:Q61" si="35">IF(O19=0,"",(N19)/(O19))</f>
        <v>0.30575999999999998</v>
      </c>
      <c r="R19" s="4"/>
      <c r="S19" s="5">
        <f>250</f>
        <v>250</v>
      </c>
      <c r="T19" s="5">
        <f t="shared" ref="T19:T61" si="36">(R19)-(S19)</f>
        <v>-250</v>
      </c>
      <c r="U19" s="6">
        <f t="shared" ref="U19:U61" si="37">IF(S19=0,"",(R19)/(S19))</f>
        <v>0</v>
      </c>
      <c r="V19" s="5">
        <f>786</f>
        <v>786</v>
      </c>
      <c r="W19" s="5">
        <f>250</f>
        <v>250</v>
      </c>
      <c r="X19" s="5">
        <f t="shared" ref="X19:X61" si="38">(V19)-(W19)</f>
        <v>536</v>
      </c>
      <c r="Y19" s="6">
        <f t="shared" ref="Y19:Y61" si="39">IF(W19=0,"",(V19)/(W19))</f>
        <v>3.1440000000000001</v>
      </c>
      <c r="Z19" s="5">
        <f>935.15</f>
        <v>935.15</v>
      </c>
      <c r="AA19" s="5">
        <f>250</f>
        <v>250</v>
      </c>
      <c r="AB19" s="5">
        <f t="shared" ref="AB19:AB61" si="40">(Z19)-(AA19)</f>
        <v>685.15</v>
      </c>
      <c r="AC19" s="6">
        <f t="shared" ref="AC19:AC61" si="41">IF(AA19=0,"",(Z19)/(AA19))</f>
        <v>3.7405999999999997</v>
      </c>
      <c r="AD19" s="4"/>
      <c r="AE19" s="5">
        <f>250</f>
        <v>250</v>
      </c>
      <c r="AF19" s="5">
        <f t="shared" ref="AF19:AF61" si="42">(AD19)-(AE19)</f>
        <v>-250</v>
      </c>
      <c r="AG19" s="6">
        <f t="shared" ref="AG19:AG61" si="43">IF(AE19=0,"",(AD19)/(AE19))</f>
        <v>0</v>
      </c>
      <c r="AH19" s="4"/>
      <c r="AI19" s="5">
        <f>250</f>
        <v>250</v>
      </c>
      <c r="AJ19" s="5">
        <f t="shared" ref="AJ19:AJ61" si="44">(AH19)-(AI19)</f>
        <v>-250</v>
      </c>
      <c r="AK19" s="6">
        <f t="shared" ref="AK19:AK61" si="45">IF(AI19=0,"",(AH19)/(AI19))</f>
        <v>0</v>
      </c>
      <c r="AL19" s="4"/>
      <c r="AM19" s="5">
        <f>250</f>
        <v>250</v>
      </c>
      <c r="AN19" s="5">
        <f t="shared" ref="AN19:AN61" si="46">(AL19)-(AM19)</f>
        <v>-250</v>
      </c>
      <c r="AO19" s="6">
        <f t="shared" ref="AO19:AO61" si="47">IF(AM19=0,"",(AL19)/(AM19))</f>
        <v>0</v>
      </c>
      <c r="AP19" s="4"/>
      <c r="AQ19" s="5">
        <f>250</f>
        <v>250</v>
      </c>
      <c r="AR19" s="5">
        <f t="shared" ref="AR19:AR61" si="48">(AP19)-(AQ19)</f>
        <v>-250</v>
      </c>
      <c r="AS19" s="6">
        <f t="shared" ref="AS19:AS61" si="49">IF(AQ19=0,"",(AP19)/(AQ19))</f>
        <v>0</v>
      </c>
      <c r="AT19" s="4"/>
      <c r="AU19" s="5">
        <f>250</f>
        <v>250</v>
      </c>
      <c r="AV19" s="5">
        <f t="shared" ref="AV19:AV61" si="50">(AT19)-(AU19)</f>
        <v>-250</v>
      </c>
      <c r="AW19" s="6">
        <f t="shared" ref="AW19:AW61" si="51">IF(AU19=0,"",(AT19)/(AU19))</f>
        <v>0</v>
      </c>
      <c r="AX19" s="5">
        <f t="shared" ref="AX19:AX61" si="52">(((((((((((B19)+(F19))+(J19))+(N19))+(R19))+(V19))+(Z19))+(AD19))+(AH19))+(AL19))+(AP19))+(AT19)</f>
        <v>2286.08</v>
      </c>
      <c r="AY19" s="19">
        <f t="shared" ref="AY19:AY61" si="53">(((((((((((C19)+(G19))+(K19))+(O19))+(S19))+(W19))+(AA19))+(AE19))+(AI19))+(AM19))+(AQ19))+(AU19)</f>
        <v>3000</v>
      </c>
      <c r="AZ19" s="5">
        <f t="shared" ref="AZ19:AZ61" si="54">(AX19)-(AY19)</f>
        <v>-713.92000000000007</v>
      </c>
      <c r="BA19" s="6">
        <f t="shared" ref="BA19:BA61" si="55">IF(AY19=0,"",(AX19)/(AY19))</f>
        <v>0.76202666666666663</v>
      </c>
    </row>
    <row r="20" spans="1:53" x14ac:dyDescent="0.25">
      <c r="A20" s="3" t="s">
        <v>30</v>
      </c>
      <c r="B20" s="4"/>
      <c r="C20" s="5">
        <f>0</f>
        <v>0</v>
      </c>
      <c r="D20" s="5">
        <f t="shared" si="28"/>
        <v>0</v>
      </c>
      <c r="E20" s="6" t="str">
        <f t="shared" si="29"/>
        <v/>
      </c>
      <c r="F20" s="4"/>
      <c r="G20" s="5">
        <f>0</f>
        <v>0</v>
      </c>
      <c r="H20" s="5">
        <f t="shared" si="30"/>
        <v>0</v>
      </c>
      <c r="I20" s="6" t="str">
        <f t="shared" si="31"/>
        <v/>
      </c>
      <c r="J20" s="4"/>
      <c r="K20" s="5">
        <f>0</f>
        <v>0</v>
      </c>
      <c r="L20" s="5">
        <f t="shared" si="32"/>
        <v>0</v>
      </c>
      <c r="M20" s="6" t="str">
        <f t="shared" si="33"/>
        <v/>
      </c>
      <c r="N20" s="4"/>
      <c r="O20" s="5">
        <f>0</f>
        <v>0</v>
      </c>
      <c r="P20" s="5">
        <f t="shared" si="34"/>
        <v>0</v>
      </c>
      <c r="Q20" s="6" t="str">
        <f t="shared" si="35"/>
        <v/>
      </c>
      <c r="R20" s="4"/>
      <c r="S20" s="5">
        <f>0</f>
        <v>0</v>
      </c>
      <c r="T20" s="5">
        <f t="shared" si="36"/>
        <v>0</v>
      </c>
      <c r="U20" s="6" t="str">
        <f t="shared" si="37"/>
        <v/>
      </c>
      <c r="V20" s="4"/>
      <c r="W20" s="5">
        <f>18000</f>
        <v>18000</v>
      </c>
      <c r="X20" s="5">
        <f t="shared" si="38"/>
        <v>-18000</v>
      </c>
      <c r="Y20" s="6">
        <f t="shared" si="39"/>
        <v>0</v>
      </c>
      <c r="Z20" s="4"/>
      <c r="AA20" s="5">
        <f>0</f>
        <v>0</v>
      </c>
      <c r="AB20" s="5">
        <f t="shared" si="40"/>
        <v>0</v>
      </c>
      <c r="AC20" s="6" t="str">
        <f t="shared" si="41"/>
        <v/>
      </c>
      <c r="AD20" s="4"/>
      <c r="AE20" s="5">
        <f>0</f>
        <v>0</v>
      </c>
      <c r="AF20" s="5">
        <f t="shared" si="42"/>
        <v>0</v>
      </c>
      <c r="AG20" s="6" t="str">
        <f t="shared" si="43"/>
        <v/>
      </c>
      <c r="AH20" s="4"/>
      <c r="AI20" s="5">
        <f>0</f>
        <v>0</v>
      </c>
      <c r="AJ20" s="5">
        <f t="shared" si="44"/>
        <v>0</v>
      </c>
      <c r="AK20" s="6" t="str">
        <f t="shared" si="45"/>
        <v/>
      </c>
      <c r="AL20" s="4"/>
      <c r="AM20" s="5">
        <f>0</f>
        <v>0</v>
      </c>
      <c r="AN20" s="5">
        <f t="shared" si="46"/>
        <v>0</v>
      </c>
      <c r="AO20" s="6" t="str">
        <f t="shared" si="47"/>
        <v/>
      </c>
      <c r="AP20" s="4"/>
      <c r="AQ20" s="5">
        <f>0</f>
        <v>0</v>
      </c>
      <c r="AR20" s="5">
        <f t="shared" si="48"/>
        <v>0</v>
      </c>
      <c r="AS20" s="6" t="str">
        <f t="shared" si="49"/>
        <v/>
      </c>
      <c r="AT20" s="4"/>
      <c r="AU20" s="5">
        <f>0</f>
        <v>0</v>
      </c>
      <c r="AV20" s="5">
        <f t="shared" si="50"/>
        <v>0</v>
      </c>
      <c r="AW20" s="6" t="str">
        <f t="shared" si="51"/>
        <v/>
      </c>
      <c r="AX20" s="5">
        <f t="shared" si="52"/>
        <v>0</v>
      </c>
      <c r="AY20" s="19">
        <f t="shared" si="53"/>
        <v>18000</v>
      </c>
      <c r="AZ20" s="5">
        <f t="shared" si="54"/>
        <v>-18000</v>
      </c>
      <c r="BA20" s="6">
        <f t="shared" si="55"/>
        <v>0</v>
      </c>
    </row>
    <row r="21" spans="1:53" x14ac:dyDescent="0.25">
      <c r="A21" s="3" t="s">
        <v>31</v>
      </c>
      <c r="B21" s="4"/>
      <c r="C21" s="5">
        <f>4.17</f>
        <v>4.17</v>
      </c>
      <c r="D21" s="5">
        <f t="shared" si="28"/>
        <v>-4.17</v>
      </c>
      <c r="E21" s="6">
        <f t="shared" si="29"/>
        <v>0</v>
      </c>
      <c r="F21" s="5">
        <f>45.72</f>
        <v>45.72</v>
      </c>
      <c r="G21" s="5">
        <f>4.17</f>
        <v>4.17</v>
      </c>
      <c r="H21" s="5">
        <f t="shared" si="30"/>
        <v>41.55</v>
      </c>
      <c r="I21" s="6">
        <f t="shared" si="31"/>
        <v>10.964028776978417</v>
      </c>
      <c r="J21" s="5">
        <f>45</f>
        <v>45</v>
      </c>
      <c r="K21" s="5">
        <f>4.17</f>
        <v>4.17</v>
      </c>
      <c r="L21" s="5">
        <f t="shared" si="32"/>
        <v>40.83</v>
      </c>
      <c r="M21" s="6">
        <f t="shared" si="33"/>
        <v>10.791366906474821</v>
      </c>
      <c r="N21" s="5">
        <f>115</f>
        <v>115</v>
      </c>
      <c r="O21" s="5">
        <f>4.17</f>
        <v>4.17</v>
      </c>
      <c r="P21" s="5">
        <f t="shared" si="34"/>
        <v>110.83</v>
      </c>
      <c r="Q21" s="6">
        <f t="shared" si="35"/>
        <v>27.577937649880095</v>
      </c>
      <c r="R21" s="5">
        <f>48.12</f>
        <v>48.12</v>
      </c>
      <c r="S21" s="5">
        <f>4.17</f>
        <v>4.17</v>
      </c>
      <c r="T21" s="5">
        <f t="shared" si="36"/>
        <v>43.949999999999996</v>
      </c>
      <c r="U21" s="6">
        <f t="shared" si="37"/>
        <v>11.53956834532374</v>
      </c>
      <c r="V21" s="5">
        <f>45</f>
        <v>45</v>
      </c>
      <c r="W21" s="5">
        <f>4.17</f>
        <v>4.17</v>
      </c>
      <c r="X21" s="5">
        <f t="shared" si="38"/>
        <v>40.83</v>
      </c>
      <c r="Y21" s="6">
        <f t="shared" si="39"/>
        <v>10.791366906474821</v>
      </c>
      <c r="Z21" s="5">
        <f>54.99</f>
        <v>54.99</v>
      </c>
      <c r="AA21" s="5">
        <f>4.17</f>
        <v>4.17</v>
      </c>
      <c r="AB21" s="5">
        <f t="shared" si="40"/>
        <v>50.82</v>
      </c>
      <c r="AC21" s="6">
        <f t="shared" si="41"/>
        <v>13.187050359712231</v>
      </c>
      <c r="AD21" s="4"/>
      <c r="AE21" s="5">
        <f>4.17</f>
        <v>4.17</v>
      </c>
      <c r="AF21" s="5">
        <f t="shared" si="42"/>
        <v>-4.17</v>
      </c>
      <c r="AG21" s="6">
        <f t="shared" si="43"/>
        <v>0</v>
      </c>
      <c r="AH21" s="4"/>
      <c r="AI21" s="5">
        <f>4.17</f>
        <v>4.17</v>
      </c>
      <c r="AJ21" s="5">
        <f t="shared" si="44"/>
        <v>-4.17</v>
      </c>
      <c r="AK21" s="6">
        <f t="shared" si="45"/>
        <v>0</v>
      </c>
      <c r="AL21" s="4"/>
      <c r="AM21" s="5">
        <f>4.17</f>
        <v>4.17</v>
      </c>
      <c r="AN21" s="5">
        <f t="shared" si="46"/>
        <v>-4.17</v>
      </c>
      <c r="AO21" s="6">
        <f t="shared" si="47"/>
        <v>0</v>
      </c>
      <c r="AP21" s="4"/>
      <c r="AQ21" s="5">
        <f>4.17</f>
        <v>4.17</v>
      </c>
      <c r="AR21" s="5">
        <f t="shared" si="48"/>
        <v>-4.17</v>
      </c>
      <c r="AS21" s="6">
        <f t="shared" si="49"/>
        <v>0</v>
      </c>
      <c r="AT21" s="4"/>
      <c r="AU21" s="5">
        <f>4.13</f>
        <v>4.13</v>
      </c>
      <c r="AV21" s="5">
        <f t="shared" si="50"/>
        <v>-4.13</v>
      </c>
      <c r="AW21" s="6">
        <f t="shared" si="51"/>
        <v>0</v>
      </c>
      <c r="AX21" s="5">
        <f t="shared" si="52"/>
        <v>353.83000000000004</v>
      </c>
      <c r="AY21" s="19">
        <f t="shared" si="53"/>
        <v>50.000000000000014</v>
      </c>
      <c r="AZ21" s="5">
        <f t="shared" si="54"/>
        <v>303.83000000000004</v>
      </c>
      <c r="BA21" s="6">
        <f t="shared" si="55"/>
        <v>7.0765999999999991</v>
      </c>
    </row>
    <row r="22" spans="1:53" x14ac:dyDescent="0.25">
      <c r="A22" s="3" t="s">
        <v>32</v>
      </c>
      <c r="B22" s="5">
        <f>100</f>
        <v>100</v>
      </c>
      <c r="C22" s="5">
        <f>100</f>
        <v>100</v>
      </c>
      <c r="D22" s="5">
        <f t="shared" si="28"/>
        <v>0</v>
      </c>
      <c r="E22" s="6">
        <f t="shared" si="29"/>
        <v>1</v>
      </c>
      <c r="F22" s="4"/>
      <c r="G22" s="5">
        <f>100</f>
        <v>100</v>
      </c>
      <c r="H22" s="5">
        <f t="shared" si="30"/>
        <v>-100</v>
      </c>
      <c r="I22" s="6">
        <f t="shared" si="31"/>
        <v>0</v>
      </c>
      <c r="J22" s="4"/>
      <c r="K22" s="5">
        <f>100</f>
        <v>100</v>
      </c>
      <c r="L22" s="5">
        <f t="shared" si="32"/>
        <v>-100</v>
      </c>
      <c r="M22" s="6">
        <f t="shared" si="33"/>
        <v>0</v>
      </c>
      <c r="N22" s="4"/>
      <c r="O22" s="5">
        <f>100</f>
        <v>100</v>
      </c>
      <c r="P22" s="5">
        <f t="shared" si="34"/>
        <v>-100</v>
      </c>
      <c r="Q22" s="6">
        <f t="shared" si="35"/>
        <v>0</v>
      </c>
      <c r="R22" s="4"/>
      <c r="S22" s="5">
        <f>100</f>
        <v>100</v>
      </c>
      <c r="T22" s="5">
        <f t="shared" si="36"/>
        <v>-100</v>
      </c>
      <c r="U22" s="6">
        <f t="shared" si="37"/>
        <v>0</v>
      </c>
      <c r="V22" s="4"/>
      <c r="W22" s="5">
        <f>100</f>
        <v>100</v>
      </c>
      <c r="X22" s="5">
        <f t="shared" si="38"/>
        <v>-100</v>
      </c>
      <c r="Y22" s="6">
        <f t="shared" si="39"/>
        <v>0</v>
      </c>
      <c r="Z22" s="4"/>
      <c r="AA22" s="5">
        <f>100</f>
        <v>100</v>
      </c>
      <c r="AB22" s="5">
        <f t="shared" si="40"/>
        <v>-100</v>
      </c>
      <c r="AC22" s="6">
        <f t="shared" si="41"/>
        <v>0</v>
      </c>
      <c r="AD22" s="4"/>
      <c r="AE22" s="5">
        <f>100</f>
        <v>100</v>
      </c>
      <c r="AF22" s="5">
        <f t="shared" si="42"/>
        <v>-100</v>
      </c>
      <c r="AG22" s="6">
        <f t="shared" si="43"/>
        <v>0</v>
      </c>
      <c r="AH22" s="4"/>
      <c r="AI22" s="5">
        <f>100</f>
        <v>100</v>
      </c>
      <c r="AJ22" s="5">
        <f t="shared" si="44"/>
        <v>-100</v>
      </c>
      <c r="AK22" s="6">
        <f t="shared" si="45"/>
        <v>0</v>
      </c>
      <c r="AL22" s="4"/>
      <c r="AM22" s="5">
        <f>100</f>
        <v>100</v>
      </c>
      <c r="AN22" s="5">
        <f t="shared" si="46"/>
        <v>-100</v>
      </c>
      <c r="AO22" s="6">
        <f t="shared" si="47"/>
        <v>0</v>
      </c>
      <c r="AP22" s="4"/>
      <c r="AQ22" s="5">
        <f>100</f>
        <v>100</v>
      </c>
      <c r="AR22" s="5">
        <f t="shared" si="48"/>
        <v>-100</v>
      </c>
      <c r="AS22" s="6">
        <f t="shared" si="49"/>
        <v>0</v>
      </c>
      <c r="AT22" s="4"/>
      <c r="AU22" s="5">
        <f>100</f>
        <v>100</v>
      </c>
      <c r="AV22" s="5">
        <f t="shared" si="50"/>
        <v>-100</v>
      </c>
      <c r="AW22" s="6">
        <f t="shared" si="51"/>
        <v>0</v>
      </c>
      <c r="AX22" s="5">
        <f t="shared" si="52"/>
        <v>100</v>
      </c>
      <c r="AY22" s="19">
        <f t="shared" si="53"/>
        <v>1200</v>
      </c>
      <c r="AZ22" s="5">
        <f t="shared" si="54"/>
        <v>-1100</v>
      </c>
      <c r="BA22" s="6">
        <f t="shared" si="55"/>
        <v>8.3333333333333329E-2</v>
      </c>
    </row>
    <row r="23" spans="1:53" x14ac:dyDescent="0.25">
      <c r="A23" s="3" t="s">
        <v>33</v>
      </c>
      <c r="B23" s="4"/>
      <c r="C23" s="5">
        <f>83.33</f>
        <v>83.33</v>
      </c>
      <c r="D23" s="5">
        <f t="shared" si="28"/>
        <v>-83.33</v>
      </c>
      <c r="E23" s="6">
        <f t="shared" si="29"/>
        <v>0</v>
      </c>
      <c r="F23" s="4"/>
      <c r="G23" s="5">
        <f>83.33</f>
        <v>83.33</v>
      </c>
      <c r="H23" s="5">
        <f t="shared" si="30"/>
        <v>-83.33</v>
      </c>
      <c r="I23" s="6">
        <f t="shared" si="31"/>
        <v>0</v>
      </c>
      <c r="J23" s="4"/>
      <c r="K23" s="5">
        <f>83.33</f>
        <v>83.33</v>
      </c>
      <c r="L23" s="5">
        <f t="shared" si="32"/>
        <v>-83.33</v>
      </c>
      <c r="M23" s="6">
        <f t="shared" si="33"/>
        <v>0</v>
      </c>
      <c r="N23" s="4"/>
      <c r="O23" s="5">
        <f>83.33</f>
        <v>83.33</v>
      </c>
      <c r="P23" s="5">
        <f t="shared" si="34"/>
        <v>-83.33</v>
      </c>
      <c r="Q23" s="6">
        <f t="shared" si="35"/>
        <v>0</v>
      </c>
      <c r="R23" s="4"/>
      <c r="S23" s="5">
        <f>83.33</f>
        <v>83.33</v>
      </c>
      <c r="T23" s="5">
        <f t="shared" si="36"/>
        <v>-83.33</v>
      </c>
      <c r="U23" s="6">
        <f t="shared" si="37"/>
        <v>0</v>
      </c>
      <c r="V23" s="4"/>
      <c r="W23" s="5">
        <f>83.33</f>
        <v>83.33</v>
      </c>
      <c r="X23" s="5">
        <f t="shared" si="38"/>
        <v>-83.33</v>
      </c>
      <c r="Y23" s="6">
        <f t="shared" si="39"/>
        <v>0</v>
      </c>
      <c r="Z23" s="4"/>
      <c r="AA23" s="5">
        <f>83.33</f>
        <v>83.33</v>
      </c>
      <c r="AB23" s="5">
        <f t="shared" si="40"/>
        <v>-83.33</v>
      </c>
      <c r="AC23" s="6">
        <f t="shared" si="41"/>
        <v>0</v>
      </c>
      <c r="AD23" s="4"/>
      <c r="AE23" s="5">
        <f>83.33</f>
        <v>83.33</v>
      </c>
      <c r="AF23" s="5">
        <f t="shared" si="42"/>
        <v>-83.33</v>
      </c>
      <c r="AG23" s="6">
        <f t="shared" si="43"/>
        <v>0</v>
      </c>
      <c r="AH23" s="4"/>
      <c r="AI23" s="5">
        <f>83.33</f>
        <v>83.33</v>
      </c>
      <c r="AJ23" s="5">
        <f t="shared" si="44"/>
        <v>-83.33</v>
      </c>
      <c r="AK23" s="6">
        <f t="shared" si="45"/>
        <v>0</v>
      </c>
      <c r="AL23" s="4"/>
      <c r="AM23" s="5">
        <f>83.33</f>
        <v>83.33</v>
      </c>
      <c r="AN23" s="5">
        <f t="shared" si="46"/>
        <v>-83.33</v>
      </c>
      <c r="AO23" s="6">
        <f t="shared" si="47"/>
        <v>0</v>
      </c>
      <c r="AP23" s="4"/>
      <c r="AQ23" s="5">
        <f>83.33</f>
        <v>83.33</v>
      </c>
      <c r="AR23" s="5">
        <f t="shared" si="48"/>
        <v>-83.33</v>
      </c>
      <c r="AS23" s="6">
        <f t="shared" si="49"/>
        <v>0</v>
      </c>
      <c r="AT23" s="4"/>
      <c r="AU23" s="5">
        <f>83.37</f>
        <v>83.37</v>
      </c>
      <c r="AV23" s="5">
        <f t="shared" si="50"/>
        <v>-83.37</v>
      </c>
      <c r="AW23" s="6">
        <f t="shared" si="51"/>
        <v>0</v>
      </c>
      <c r="AX23" s="5">
        <f t="shared" si="52"/>
        <v>0</v>
      </c>
      <c r="AY23" s="19">
        <f t="shared" si="53"/>
        <v>1000.0000000000001</v>
      </c>
      <c r="AZ23" s="5">
        <f t="shared" si="54"/>
        <v>-1000.0000000000001</v>
      </c>
      <c r="BA23" s="6">
        <f t="shared" si="55"/>
        <v>0</v>
      </c>
    </row>
    <row r="24" spans="1:53" x14ac:dyDescent="0.25">
      <c r="A24" s="3" t="s">
        <v>34</v>
      </c>
      <c r="B24" s="4"/>
      <c r="C24" s="4"/>
      <c r="D24" s="5">
        <f t="shared" si="28"/>
        <v>0</v>
      </c>
      <c r="E24" s="6" t="str">
        <f t="shared" si="29"/>
        <v/>
      </c>
      <c r="F24" s="5">
        <f>264.05</f>
        <v>264.05</v>
      </c>
      <c r="G24" s="4"/>
      <c r="H24" s="5">
        <f t="shared" si="30"/>
        <v>264.05</v>
      </c>
      <c r="I24" s="6" t="str">
        <f t="shared" si="31"/>
        <v/>
      </c>
      <c r="J24" s="4"/>
      <c r="K24" s="4"/>
      <c r="L24" s="5">
        <f t="shared" si="32"/>
        <v>0</v>
      </c>
      <c r="M24" s="6" t="str">
        <f t="shared" si="33"/>
        <v/>
      </c>
      <c r="N24" s="4"/>
      <c r="O24" s="4"/>
      <c r="P24" s="5">
        <f t="shared" si="34"/>
        <v>0</v>
      </c>
      <c r="Q24" s="6" t="str">
        <f t="shared" si="35"/>
        <v/>
      </c>
      <c r="R24" s="4"/>
      <c r="S24" s="4"/>
      <c r="T24" s="5">
        <f t="shared" si="36"/>
        <v>0</v>
      </c>
      <c r="U24" s="6" t="str">
        <f t="shared" si="37"/>
        <v/>
      </c>
      <c r="V24" s="4"/>
      <c r="W24" s="4"/>
      <c r="X24" s="5">
        <f t="shared" si="38"/>
        <v>0</v>
      </c>
      <c r="Y24" s="6" t="str">
        <f t="shared" si="39"/>
        <v/>
      </c>
      <c r="Z24" s="4"/>
      <c r="AA24" s="4"/>
      <c r="AB24" s="5">
        <f t="shared" si="40"/>
        <v>0</v>
      </c>
      <c r="AC24" s="6" t="str">
        <f t="shared" si="41"/>
        <v/>
      </c>
      <c r="AD24" s="4"/>
      <c r="AE24" s="4"/>
      <c r="AF24" s="5">
        <f t="shared" si="42"/>
        <v>0</v>
      </c>
      <c r="AG24" s="6" t="str">
        <f t="shared" si="43"/>
        <v/>
      </c>
      <c r="AH24" s="5">
        <f>554.58</f>
        <v>554.58000000000004</v>
      </c>
      <c r="AI24" s="4"/>
      <c r="AJ24" s="5">
        <f t="shared" si="44"/>
        <v>554.58000000000004</v>
      </c>
      <c r="AK24" s="6" t="str">
        <f t="shared" si="45"/>
        <v/>
      </c>
      <c r="AL24" s="4"/>
      <c r="AM24" s="4"/>
      <c r="AN24" s="5">
        <f t="shared" si="46"/>
        <v>0</v>
      </c>
      <c r="AO24" s="6" t="str">
        <f t="shared" si="47"/>
        <v/>
      </c>
      <c r="AP24" s="4"/>
      <c r="AQ24" s="4"/>
      <c r="AR24" s="5">
        <f t="shared" si="48"/>
        <v>0</v>
      </c>
      <c r="AS24" s="6" t="str">
        <f t="shared" si="49"/>
        <v/>
      </c>
      <c r="AT24" s="4"/>
      <c r="AU24" s="4"/>
      <c r="AV24" s="5">
        <f t="shared" si="50"/>
        <v>0</v>
      </c>
      <c r="AW24" s="6" t="str">
        <f t="shared" si="51"/>
        <v/>
      </c>
      <c r="AX24" s="5">
        <f t="shared" si="52"/>
        <v>818.63000000000011</v>
      </c>
      <c r="AY24" s="19">
        <f t="shared" si="53"/>
        <v>0</v>
      </c>
      <c r="AZ24" s="5">
        <f t="shared" si="54"/>
        <v>818.63000000000011</v>
      </c>
      <c r="BA24" s="6" t="str">
        <f t="shared" si="55"/>
        <v/>
      </c>
    </row>
    <row r="25" spans="1:53" x14ac:dyDescent="0.25">
      <c r="A25" s="3" t="s">
        <v>35</v>
      </c>
      <c r="B25" s="4"/>
      <c r="C25" s="5">
        <f>541.67</f>
        <v>541.66999999999996</v>
      </c>
      <c r="D25" s="5">
        <f t="shared" si="28"/>
        <v>-541.66999999999996</v>
      </c>
      <c r="E25" s="6">
        <f t="shared" si="29"/>
        <v>0</v>
      </c>
      <c r="F25" s="4"/>
      <c r="G25" s="5">
        <f>541.67</f>
        <v>541.66999999999996</v>
      </c>
      <c r="H25" s="5">
        <f t="shared" si="30"/>
        <v>-541.66999999999996</v>
      </c>
      <c r="I25" s="6">
        <f t="shared" si="31"/>
        <v>0</v>
      </c>
      <c r="J25" s="5">
        <f>250</f>
        <v>250</v>
      </c>
      <c r="K25" s="5">
        <f>541.67</f>
        <v>541.66999999999996</v>
      </c>
      <c r="L25" s="5">
        <f t="shared" si="32"/>
        <v>-291.66999999999996</v>
      </c>
      <c r="M25" s="6">
        <f t="shared" si="33"/>
        <v>0.46153562131925346</v>
      </c>
      <c r="N25" s="4"/>
      <c r="O25" s="5">
        <f>541.67</f>
        <v>541.66999999999996</v>
      </c>
      <c r="P25" s="5">
        <f t="shared" si="34"/>
        <v>-541.66999999999996</v>
      </c>
      <c r="Q25" s="6">
        <f t="shared" si="35"/>
        <v>0</v>
      </c>
      <c r="R25" s="4"/>
      <c r="S25" s="5">
        <f>541.67</f>
        <v>541.66999999999996</v>
      </c>
      <c r="T25" s="5">
        <f t="shared" si="36"/>
        <v>-541.66999999999996</v>
      </c>
      <c r="U25" s="6">
        <f t="shared" si="37"/>
        <v>0</v>
      </c>
      <c r="V25" s="4"/>
      <c r="W25" s="5">
        <f>541.67</f>
        <v>541.66999999999996</v>
      </c>
      <c r="X25" s="5">
        <f t="shared" si="38"/>
        <v>-541.66999999999996</v>
      </c>
      <c r="Y25" s="6">
        <f t="shared" si="39"/>
        <v>0</v>
      </c>
      <c r="Z25" s="4"/>
      <c r="AA25" s="5">
        <f>541.67</f>
        <v>541.66999999999996</v>
      </c>
      <c r="AB25" s="5">
        <f t="shared" si="40"/>
        <v>-541.66999999999996</v>
      </c>
      <c r="AC25" s="6">
        <f t="shared" si="41"/>
        <v>0</v>
      </c>
      <c r="AD25" s="4"/>
      <c r="AE25" s="5">
        <f>541.67</f>
        <v>541.66999999999996</v>
      </c>
      <c r="AF25" s="5">
        <f t="shared" si="42"/>
        <v>-541.66999999999996</v>
      </c>
      <c r="AG25" s="6">
        <f t="shared" si="43"/>
        <v>0</v>
      </c>
      <c r="AH25" s="4"/>
      <c r="AI25" s="5">
        <f>541.67</f>
        <v>541.66999999999996</v>
      </c>
      <c r="AJ25" s="5">
        <f t="shared" si="44"/>
        <v>-541.66999999999996</v>
      </c>
      <c r="AK25" s="6">
        <f t="shared" si="45"/>
        <v>0</v>
      </c>
      <c r="AL25" s="4"/>
      <c r="AM25" s="5">
        <f>541.67</f>
        <v>541.66999999999996</v>
      </c>
      <c r="AN25" s="5">
        <f t="shared" si="46"/>
        <v>-541.66999999999996</v>
      </c>
      <c r="AO25" s="6">
        <f t="shared" si="47"/>
        <v>0</v>
      </c>
      <c r="AP25" s="4"/>
      <c r="AQ25" s="5">
        <f>541.67</f>
        <v>541.66999999999996</v>
      </c>
      <c r="AR25" s="5">
        <f t="shared" si="48"/>
        <v>-541.66999999999996</v>
      </c>
      <c r="AS25" s="6">
        <f t="shared" si="49"/>
        <v>0</v>
      </c>
      <c r="AT25" s="4"/>
      <c r="AU25" s="5">
        <f>541.63</f>
        <v>541.63</v>
      </c>
      <c r="AV25" s="5">
        <f t="shared" si="50"/>
        <v>-541.63</v>
      </c>
      <c r="AW25" s="6">
        <f t="shared" si="51"/>
        <v>0</v>
      </c>
      <c r="AX25" s="5">
        <f t="shared" si="52"/>
        <v>250</v>
      </c>
      <c r="AY25" s="19">
        <f t="shared" si="53"/>
        <v>6500</v>
      </c>
      <c r="AZ25" s="5">
        <f t="shared" si="54"/>
        <v>-6250</v>
      </c>
      <c r="BA25" s="6">
        <f t="shared" si="55"/>
        <v>3.8461538461538464E-2</v>
      </c>
    </row>
    <row r="26" spans="1:53" x14ac:dyDescent="0.25">
      <c r="A26" s="3" t="s">
        <v>36</v>
      </c>
      <c r="B26" s="5">
        <f>3000</f>
        <v>3000</v>
      </c>
      <c r="C26" s="5">
        <f>2750</f>
        <v>2750</v>
      </c>
      <c r="D26" s="5">
        <f t="shared" si="28"/>
        <v>250</v>
      </c>
      <c r="E26" s="6">
        <f t="shared" si="29"/>
        <v>1.0909090909090908</v>
      </c>
      <c r="F26" s="5">
        <f>3000</f>
        <v>3000</v>
      </c>
      <c r="G26" s="5">
        <f>2750</f>
        <v>2750</v>
      </c>
      <c r="H26" s="5">
        <f t="shared" si="30"/>
        <v>250</v>
      </c>
      <c r="I26" s="6">
        <f t="shared" si="31"/>
        <v>1.0909090909090908</v>
      </c>
      <c r="J26" s="5">
        <f>3000</f>
        <v>3000</v>
      </c>
      <c r="K26" s="5">
        <f>2750</f>
        <v>2750</v>
      </c>
      <c r="L26" s="5">
        <f t="shared" si="32"/>
        <v>250</v>
      </c>
      <c r="M26" s="6">
        <f t="shared" si="33"/>
        <v>1.0909090909090908</v>
      </c>
      <c r="N26" s="5">
        <f>3000</f>
        <v>3000</v>
      </c>
      <c r="O26" s="5">
        <f>2750</f>
        <v>2750</v>
      </c>
      <c r="P26" s="5">
        <f t="shared" si="34"/>
        <v>250</v>
      </c>
      <c r="Q26" s="6">
        <f t="shared" si="35"/>
        <v>1.0909090909090908</v>
      </c>
      <c r="R26" s="5">
        <f>3000</f>
        <v>3000</v>
      </c>
      <c r="S26" s="5">
        <f>2750</f>
        <v>2750</v>
      </c>
      <c r="T26" s="5">
        <f t="shared" si="36"/>
        <v>250</v>
      </c>
      <c r="U26" s="6">
        <f t="shared" si="37"/>
        <v>1.0909090909090908</v>
      </c>
      <c r="V26" s="5">
        <f>3000</f>
        <v>3000</v>
      </c>
      <c r="W26" s="5">
        <f>2750</f>
        <v>2750</v>
      </c>
      <c r="X26" s="5">
        <f t="shared" si="38"/>
        <v>250</v>
      </c>
      <c r="Y26" s="6">
        <f t="shared" si="39"/>
        <v>1.0909090909090908</v>
      </c>
      <c r="Z26" s="5">
        <f>3000</f>
        <v>3000</v>
      </c>
      <c r="AA26" s="5">
        <f>2750</f>
        <v>2750</v>
      </c>
      <c r="AB26" s="5">
        <f t="shared" si="40"/>
        <v>250</v>
      </c>
      <c r="AC26" s="6">
        <f t="shared" si="41"/>
        <v>1.0909090909090908</v>
      </c>
      <c r="AD26" s="5">
        <f>3000</f>
        <v>3000</v>
      </c>
      <c r="AE26" s="5">
        <f>2750</f>
        <v>2750</v>
      </c>
      <c r="AF26" s="5">
        <f t="shared" si="42"/>
        <v>250</v>
      </c>
      <c r="AG26" s="6">
        <f t="shared" si="43"/>
        <v>1.0909090909090908</v>
      </c>
      <c r="AH26" s="4"/>
      <c r="AI26" s="5">
        <f>2750</f>
        <v>2750</v>
      </c>
      <c r="AJ26" s="5">
        <f t="shared" si="44"/>
        <v>-2750</v>
      </c>
      <c r="AK26" s="6">
        <f t="shared" si="45"/>
        <v>0</v>
      </c>
      <c r="AL26" s="4"/>
      <c r="AM26" s="5">
        <f>2750</f>
        <v>2750</v>
      </c>
      <c r="AN26" s="5">
        <f t="shared" si="46"/>
        <v>-2750</v>
      </c>
      <c r="AO26" s="6">
        <f t="shared" si="47"/>
        <v>0</v>
      </c>
      <c r="AP26" s="4"/>
      <c r="AQ26" s="5">
        <f>2750</f>
        <v>2750</v>
      </c>
      <c r="AR26" s="5">
        <f t="shared" si="48"/>
        <v>-2750</v>
      </c>
      <c r="AS26" s="6">
        <f t="shared" si="49"/>
        <v>0</v>
      </c>
      <c r="AT26" s="4"/>
      <c r="AU26" s="5">
        <f>2750</f>
        <v>2750</v>
      </c>
      <c r="AV26" s="5">
        <f t="shared" si="50"/>
        <v>-2750</v>
      </c>
      <c r="AW26" s="6">
        <f t="shared" si="51"/>
        <v>0</v>
      </c>
      <c r="AX26" s="5">
        <f t="shared" si="52"/>
        <v>24000</v>
      </c>
      <c r="AY26" s="19">
        <f t="shared" si="53"/>
        <v>33000</v>
      </c>
      <c r="AZ26" s="5">
        <f t="shared" si="54"/>
        <v>-9000</v>
      </c>
      <c r="BA26" s="6">
        <f t="shared" si="55"/>
        <v>0.72727272727272729</v>
      </c>
    </row>
    <row r="27" spans="1:53" x14ac:dyDescent="0.25">
      <c r="A27" s="3" t="s">
        <v>37</v>
      </c>
      <c r="B27" s="4"/>
      <c r="C27" s="5">
        <f>4.17</f>
        <v>4.17</v>
      </c>
      <c r="D27" s="5">
        <f t="shared" si="28"/>
        <v>-4.17</v>
      </c>
      <c r="E27" s="6">
        <f t="shared" si="29"/>
        <v>0</v>
      </c>
      <c r="F27" s="4"/>
      <c r="G27" s="5">
        <f>4.17</f>
        <v>4.17</v>
      </c>
      <c r="H27" s="5">
        <f t="shared" si="30"/>
        <v>-4.17</v>
      </c>
      <c r="I27" s="6">
        <f t="shared" si="31"/>
        <v>0</v>
      </c>
      <c r="J27" s="4"/>
      <c r="K27" s="5">
        <f>4.17</f>
        <v>4.17</v>
      </c>
      <c r="L27" s="5">
        <f t="shared" si="32"/>
        <v>-4.17</v>
      </c>
      <c r="M27" s="6">
        <f t="shared" si="33"/>
        <v>0</v>
      </c>
      <c r="N27" s="4"/>
      <c r="O27" s="5">
        <f>4.17</f>
        <v>4.17</v>
      </c>
      <c r="P27" s="5">
        <f t="shared" si="34"/>
        <v>-4.17</v>
      </c>
      <c r="Q27" s="6">
        <f t="shared" si="35"/>
        <v>0</v>
      </c>
      <c r="R27" s="4"/>
      <c r="S27" s="5">
        <f>4.17</f>
        <v>4.17</v>
      </c>
      <c r="T27" s="5">
        <f t="shared" si="36"/>
        <v>-4.17</v>
      </c>
      <c r="U27" s="6">
        <f t="shared" si="37"/>
        <v>0</v>
      </c>
      <c r="V27" s="4"/>
      <c r="W27" s="5">
        <f>4.17</f>
        <v>4.17</v>
      </c>
      <c r="X27" s="5">
        <f t="shared" si="38"/>
        <v>-4.17</v>
      </c>
      <c r="Y27" s="6">
        <f t="shared" si="39"/>
        <v>0</v>
      </c>
      <c r="Z27" s="4"/>
      <c r="AA27" s="5">
        <f>4.17</f>
        <v>4.17</v>
      </c>
      <c r="AB27" s="5">
        <f t="shared" si="40"/>
        <v>-4.17</v>
      </c>
      <c r="AC27" s="6">
        <f t="shared" si="41"/>
        <v>0</v>
      </c>
      <c r="AD27" s="4"/>
      <c r="AE27" s="5">
        <f>4.17</f>
        <v>4.17</v>
      </c>
      <c r="AF27" s="5">
        <f t="shared" si="42"/>
        <v>-4.17</v>
      </c>
      <c r="AG27" s="6">
        <f t="shared" si="43"/>
        <v>0</v>
      </c>
      <c r="AH27" s="4"/>
      <c r="AI27" s="5">
        <f>4.17</f>
        <v>4.17</v>
      </c>
      <c r="AJ27" s="5">
        <f t="shared" si="44"/>
        <v>-4.17</v>
      </c>
      <c r="AK27" s="6">
        <f t="shared" si="45"/>
        <v>0</v>
      </c>
      <c r="AL27" s="4"/>
      <c r="AM27" s="5">
        <f>4.17</f>
        <v>4.17</v>
      </c>
      <c r="AN27" s="5">
        <f t="shared" si="46"/>
        <v>-4.17</v>
      </c>
      <c r="AO27" s="6">
        <f t="shared" si="47"/>
        <v>0</v>
      </c>
      <c r="AP27" s="4"/>
      <c r="AQ27" s="5">
        <f>4.17</f>
        <v>4.17</v>
      </c>
      <c r="AR27" s="5">
        <f t="shared" si="48"/>
        <v>-4.17</v>
      </c>
      <c r="AS27" s="6">
        <f t="shared" si="49"/>
        <v>0</v>
      </c>
      <c r="AT27" s="4"/>
      <c r="AU27" s="5">
        <f>4.13</f>
        <v>4.13</v>
      </c>
      <c r="AV27" s="5">
        <f t="shared" si="50"/>
        <v>-4.13</v>
      </c>
      <c r="AW27" s="6">
        <f t="shared" si="51"/>
        <v>0</v>
      </c>
      <c r="AX27" s="5">
        <f t="shared" si="52"/>
        <v>0</v>
      </c>
      <c r="AY27" s="19">
        <f t="shared" si="53"/>
        <v>50.000000000000014</v>
      </c>
      <c r="AZ27" s="5">
        <f t="shared" si="54"/>
        <v>-50.000000000000014</v>
      </c>
      <c r="BA27" s="6">
        <f t="shared" si="55"/>
        <v>0</v>
      </c>
    </row>
    <row r="28" spans="1:53" x14ac:dyDescent="0.25">
      <c r="A28" s="3" t="s">
        <v>38</v>
      </c>
      <c r="B28" s="5">
        <f>100</f>
        <v>100</v>
      </c>
      <c r="C28" s="5">
        <f>291.67</f>
        <v>291.67</v>
      </c>
      <c r="D28" s="5">
        <f t="shared" si="28"/>
        <v>-191.67000000000002</v>
      </c>
      <c r="E28" s="6">
        <f t="shared" si="29"/>
        <v>0.34285322453457673</v>
      </c>
      <c r="F28" s="5">
        <f>100</f>
        <v>100</v>
      </c>
      <c r="G28" s="5">
        <f>291.67</f>
        <v>291.67</v>
      </c>
      <c r="H28" s="5">
        <f t="shared" si="30"/>
        <v>-191.67000000000002</v>
      </c>
      <c r="I28" s="6">
        <f t="shared" si="31"/>
        <v>0.34285322453457673</v>
      </c>
      <c r="J28" s="5">
        <f>100</f>
        <v>100</v>
      </c>
      <c r="K28" s="5">
        <f>291.67</f>
        <v>291.67</v>
      </c>
      <c r="L28" s="5">
        <f t="shared" si="32"/>
        <v>-191.67000000000002</v>
      </c>
      <c r="M28" s="6">
        <f t="shared" si="33"/>
        <v>0.34285322453457673</v>
      </c>
      <c r="N28" s="5">
        <f>100</f>
        <v>100</v>
      </c>
      <c r="O28" s="5">
        <f>291.67</f>
        <v>291.67</v>
      </c>
      <c r="P28" s="5">
        <f t="shared" si="34"/>
        <v>-191.67000000000002</v>
      </c>
      <c r="Q28" s="6">
        <f t="shared" si="35"/>
        <v>0.34285322453457673</v>
      </c>
      <c r="R28" s="5">
        <f>100</f>
        <v>100</v>
      </c>
      <c r="S28" s="5">
        <f>291.67</f>
        <v>291.67</v>
      </c>
      <c r="T28" s="5">
        <f t="shared" si="36"/>
        <v>-191.67000000000002</v>
      </c>
      <c r="U28" s="6">
        <f t="shared" si="37"/>
        <v>0.34285322453457673</v>
      </c>
      <c r="V28" s="5">
        <f>100</f>
        <v>100</v>
      </c>
      <c r="W28" s="5">
        <f>291.67</f>
        <v>291.67</v>
      </c>
      <c r="X28" s="5">
        <f t="shared" si="38"/>
        <v>-191.67000000000002</v>
      </c>
      <c r="Y28" s="6">
        <f t="shared" si="39"/>
        <v>0.34285322453457673</v>
      </c>
      <c r="Z28" s="5">
        <f>100</f>
        <v>100</v>
      </c>
      <c r="AA28" s="5">
        <f>291.67</f>
        <v>291.67</v>
      </c>
      <c r="AB28" s="5">
        <f t="shared" si="40"/>
        <v>-191.67000000000002</v>
      </c>
      <c r="AC28" s="6">
        <f t="shared" si="41"/>
        <v>0.34285322453457673</v>
      </c>
      <c r="AD28" s="5">
        <f>100</f>
        <v>100</v>
      </c>
      <c r="AE28" s="5">
        <f>291.67</f>
        <v>291.67</v>
      </c>
      <c r="AF28" s="5">
        <f t="shared" si="42"/>
        <v>-191.67000000000002</v>
      </c>
      <c r="AG28" s="6">
        <f t="shared" si="43"/>
        <v>0.34285322453457673</v>
      </c>
      <c r="AH28" s="4"/>
      <c r="AI28" s="5">
        <f>291.67</f>
        <v>291.67</v>
      </c>
      <c r="AJ28" s="5">
        <f t="shared" si="44"/>
        <v>-291.67</v>
      </c>
      <c r="AK28" s="6">
        <f t="shared" si="45"/>
        <v>0</v>
      </c>
      <c r="AL28" s="4"/>
      <c r="AM28" s="5">
        <f>291.67</f>
        <v>291.67</v>
      </c>
      <c r="AN28" s="5">
        <f t="shared" si="46"/>
        <v>-291.67</v>
      </c>
      <c r="AO28" s="6">
        <f t="shared" si="47"/>
        <v>0</v>
      </c>
      <c r="AP28" s="4"/>
      <c r="AQ28" s="5">
        <f>291.67</f>
        <v>291.67</v>
      </c>
      <c r="AR28" s="5">
        <f t="shared" si="48"/>
        <v>-291.67</v>
      </c>
      <c r="AS28" s="6">
        <f t="shared" si="49"/>
        <v>0</v>
      </c>
      <c r="AT28" s="4"/>
      <c r="AU28" s="5">
        <f>291.63</f>
        <v>291.63</v>
      </c>
      <c r="AV28" s="5">
        <f t="shared" si="50"/>
        <v>-291.63</v>
      </c>
      <c r="AW28" s="6">
        <f t="shared" si="51"/>
        <v>0</v>
      </c>
      <c r="AX28" s="5">
        <f t="shared" si="52"/>
        <v>800</v>
      </c>
      <c r="AY28" s="19">
        <f t="shared" si="53"/>
        <v>3500.0000000000005</v>
      </c>
      <c r="AZ28" s="5">
        <f t="shared" si="54"/>
        <v>-2700.0000000000005</v>
      </c>
      <c r="BA28" s="6">
        <f t="shared" si="55"/>
        <v>0.22857142857142854</v>
      </c>
    </row>
    <row r="29" spans="1:53" x14ac:dyDescent="0.25">
      <c r="A29" s="3" t="s">
        <v>39</v>
      </c>
      <c r="B29" s="4"/>
      <c r="C29" s="5">
        <f>45.83</f>
        <v>45.83</v>
      </c>
      <c r="D29" s="5">
        <f t="shared" si="28"/>
        <v>-45.83</v>
      </c>
      <c r="E29" s="6">
        <f t="shared" si="29"/>
        <v>0</v>
      </c>
      <c r="F29" s="4"/>
      <c r="G29" s="5">
        <f>45.83</f>
        <v>45.83</v>
      </c>
      <c r="H29" s="5">
        <f t="shared" si="30"/>
        <v>-45.83</v>
      </c>
      <c r="I29" s="6">
        <f t="shared" si="31"/>
        <v>0</v>
      </c>
      <c r="J29" s="4"/>
      <c r="K29" s="5">
        <f>45.83</f>
        <v>45.83</v>
      </c>
      <c r="L29" s="5">
        <f t="shared" si="32"/>
        <v>-45.83</v>
      </c>
      <c r="M29" s="6">
        <f t="shared" si="33"/>
        <v>0</v>
      </c>
      <c r="N29" s="4"/>
      <c r="O29" s="5">
        <f>45.83</f>
        <v>45.83</v>
      </c>
      <c r="P29" s="5">
        <f t="shared" si="34"/>
        <v>-45.83</v>
      </c>
      <c r="Q29" s="6">
        <f t="shared" si="35"/>
        <v>0</v>
      </c>
      <c r="R29" s="4"/>
      <c r="S29" s="5">
        <f>45.83</f>
        <v>45.83</v>
      </c>
      <c r="T29" s="5">
        <f t="shared" si="36"/>
        <v>-45.83</v>
      </c>
      <c r="U29" s="6">
        <f t="shared" si="37"/>
        <v>0</v>
      </c>
      <c r="V29" s="4"/>
      <c r="W29" s="5">
        <f>45.83</f>
        <v>45.83</v>
      </c>
      <c r="X29" s="5">
        <f t="shared" si="38"/>
        <v>-45.83</v>
      </c>
      <c r="Y29" s="6">
        <f t="shared" si="39"/>
        <v>0</v>
      </c>
      <c r="Z29" s="4"/>
      <c r="AA29" s="5">
        <f>45.83</f>
        <v>45.83</v>
      </c>
      <c r="AB29" s="5">
        <f t="shared" si="40"/>
        <v>-45.83</v>
      </c>
      <c r="AC29" s="6">
        <f t="shared" si="41"/>
        <v>0</v>
      </c>
      <c r="AD29" s="4"/>
      <c r="AE29" s="5">
        <f>45.83</f>
        <v>45.83</v>
      </c>
      <c r="AF29" s="5">
        <f t="shared" si="42"/>
        <v>-45.83</v>
      </c>
      <c r="AG29" s="6">
        <f t="shared" si="43"/>
        <v>0</v>
      </c>
      <c r="AH29" s="4"/>
      <c r="AI29" s="5">
        <f>45.83</f>
        <v>45.83</v>
      </c>
      <c r="AJ29" s="5">
        <f t="shared" si="44"/>
        <v>-45.83</v>
      </c>
      <c r="AK29" s="6">
        <f t="shared" si="45"/>
        <v>0</v>
      </c>
      <c r="AL29" s="4"/>
      <c r="AM29" s="5">
        <f>45.83</f>
        <v>45.83</v>
      </c>
      <c r="AN29" s="5">
        <f t="shared" si="46"/>
        <v>-45.83</v>
      </c>
      <c r="AO29" s="6">
        <f t="shared" si="47"/>
        <v>0</v>
      </c>
      <c r="AP29" s="4"/>
      <c r="AQ29" s="5">
        <f>45.83</f>
        <v>45.83</v>
      </c>
      <c r="AR29" s="5">
        <f t="shared" si="48"/>
        <v>-45.83</v>
      </c>
      <c r="AS29" s="6">
        <f t="shared" si="49"/>
        <v>0</v>
      </c>
      <c r="AT29" s="4"/>
      <c r="AU29" s="5">
        <f>45.87</f>
        <v>45.87</v>
      </c>
      <c r="AV29" s="5">
        <f t="shared" si="50"/>
        <v>-45.87</v>
      </c>
      <c r="AW29" s="6">
        <f t="shared" si="51"/>
        <v>0</v>
      </c>
      <c r="AX29" s="5">
        <f t="shared" si="52"/>
        <v>0</v>
      </c>
      <c r="AY29" s="19">
        <f t="shared" si="53"/>
        <v>549.99999999999989</v>
      </c>
      <c r="AZ29" s="5">
        <f t="shared" si="54"/>
        <v>-549.99999999999989</v>
      </c>
      <c r="BA29" s="6">
        <f t="shared" si="55"/>
        <v>0</v>
      </c>
    </row>
    <row r="30" spans="1:53" x14ac:dyDescent="0.25">
      <c r="A30" s="3" t="s">
        <v>40</v>
      </c>
      <c r="B30" s="4"/>
      <c r="C30" s="4"/>
      <c r="D30" s="5">
        <f t="shared" si="28"/>
        <v>0</v>
      </c>
      <c r="E30" s="6" t="str">
        <f t="shared" si="29"/>
        <v/>
      </c>
      <c r="F30" s="4"/>
      <c r="G30" s="4"/>
      <c r="H30" s="5">
        <f t="shared" si="30"/>
        <v>0</v>
      </c>
      <c r="I30" s="6" t="str">
        <f t="shared" si="31"/>
        <v/>
      </c>
      <c r="J30" s="4"/>
      <c r="K30" s="4"/>
      <c r="L30" s="5">
        <f t="shared" si="32"/>
        <v>0</v>
      </c>
      <c r="M30" s="6" t="str">
        <f t="shared" si="33"/>
        <v/>
      </c>
      <c r="N30" s="4"/>
      <c r="O30" s="4"/>
      <c r="P30" s="5">
        <f t="shared" si="34"/>
        <v>0</v>
      </c>
      <c r="Q30" s="6" t="str">
        <f t="shared" si="35"/>
        <v/>
      </c>
      <c r="R30" s="4"/>
      <c r="S30" s="4"/>
      <c r="T30" s="5">
        <f t="shared" si="36"/>
        <v>0</v>
      </c>
      <c r="U30" s="6" t="str">
        <f t="shared" si="37"/>
        <v/>
      </c>
      <c r="V30" s="4"/>
      <c r="W30" s="4"/>
      <c r="X30" s="5">
        <f t="shared" si="38"/>
        <v>0</v>
      </c>
      <c r="Y30" s="6" t="str">
        <f t="shared" si="39"/>
        <v/>
      </c>
      <c r="Z30" s="4"/>
      <c r="AA30" s="4"/>
      <c r="AB30" s="5">
        <f t="shared" si="40"/>
        <v>0</v>
      </c>
      <c r="AC30" s="6" t="str">
        <f t="shared" si="41"/>
        <v/>
      </c>
      <c r="AD30" s="4"/>
      <c r="AE30" s="4"/>
      <c r="AF30" s="5">
        <f t="shared" si="42"/>
        <v>0</v>
      </c>
      <c r="AG30" s="6" t="str">
        <f t="shared" si="43"/>
        <v/>
      </c>
      <c r="AH30" s="4"/>
      <c r="AI30" s="4"/>
      <c r="AJ30" s="5">
        <f t="shared" si="44"/>
        <v>0</v>
      </c>
      <c r="AK30" s="6" t="str">
        <f t="shared" si="45"/>
        <v/>
      </c>
      <c r="AL30" s="4"/>
      <c r="AM30" s="4"/>
      <c r="AN30" s="5">
        <f t="shared" si="46"/>
        <v>0</v>
      </c>
      <c r="AO30" s="6" t="str">
        <f t="shared" si="47"/>
        <v/>
      </c>
      <c r="AP30" s="4"/>
      <c r="AQ30" s="4"/>
      <c r="AR30" s="5">
        <f t="shared" si="48"/>
        <v>0</v>
      </c>
      <c r="AS30" s="6" t="str">
        <f t="shared" si="49"/>
        <v/>
      </c>
      <c r="AT30" s="4"/>
      <c r="AU30" s="4"/>
      <c r="AV30" s="5">
        <f t="shared" si="50"/>
        <v>0</v>
      </c>
      <c r="AW30" s="6" t="str">
        <f t="shared" si="51"/>
        <v/>
      </c>
      <c r="AX30" s="5">
        <f t="shared" si="52"/>
        <v>0</v>
      </c>
      <c r="AY30" s="19">
        <f t="shared" si="53"/>
        <v>0</v>
      </c>
      <c r="AZ30" s="5">
        <f t="shared" si="54"/>
        <v>0</v>
      </c>
      <c r="BA30" s="6" t="str">
        <f t="shared" si="55"/>
        <v/>
      </c>
    </row>
    <row r="31" spans="1:53" x14ac:dyDescent="0.25">
      <c r="A31" s="3" t="s">
        <v>41</v>
      </c>
      <c r="B31" s="5">
        <f>271</f>
        <v>271</v>
      </c>
      <c r="C31" s="5">
        <f>105.83</f>
        <v>105.83</v>
      </c>
      <c r="D31" s="5">
        <f t="shared" si="28"/>
        <v>165.17000000000002</v>
      </c>
      <c r="E31" s="6">
        <f t="shared" si="29"/>
        <v>2.560710573561372</v>
      </c>
      <c r="F31" s="5">
        <f>156</f>
        <v>156</v>
      </c>
      <c r="G31" s="5">
        <f>105.83</f>
        <v>105.83</v>
      </c>
      <c r="H31" s="5">
        <f t="shared" si="30"/>
        <v>50.17</v>
      </c>
      <c r="I31" s="6">
        <f t="shared" si="31"/>
        <v>1.4740621751866201</v>
      </c>
      <c r="J31" s="5">
        <f>156</f>
        <v>156</v>
      </c>
      <c r="K31" s="5">
        <f>105.83</f>
        <v>105.83</v>
      </c>
      <c r="L31" s="5">
        <f t="shared" si="32"/>
        <v>50.17</v>
      </c>
      <c r="M31" s="6">
        <f t="shared" si="33"/>
        <v>1.4740621751866201</v>
      </c>
      <c r="N31" s="5">
        <f>184.75</f>
        <v>184.75</v>
      </c>
      <c r="O31" s="5">
        <f>105.83</f>
        <v>105.83</v>
      </c>
      <c r="P31" s="5">
        <f t="shared" si="34"/>
        <v>78.92</v>
      </c>
      <c r="Q31" s="6">
        <f t="shared" si="35"/>
        <v>1.7457242747803081</v>
      </c>
      <c r="R31" s="5">
        <f>156</f>
        <v>156</v>
      </c>
      <c r="S31" s="5">
        <f>105.83</f>
        <v>105.83</v>
      </c>
      <c r="T31" s="5">
        <f t="shared" si="36"/>
        <v>50.17</v>
      </c>
      <c r="U31" s="6">
        <f t="shared" si="37"/>
        <v>1.4740621751866201</v>
      </c>
      <c r="V31" s="5">
        <f>165</f>
        <v>165</v>
      </c>
      <c r="W31" s="5">
        <f>105.83</f>
        <v>105.83</v>
      </c>
      <c r="X31" s="5">
        <f t="shared" si="38"/>
        <v>59.17</v>
      </c>
      <c r="Y31" s="6">
        <f t="shared" si="39"/>
        <v>1.559104223755079</v>
      </c>
      <c r="Z31" s="5">
        <f>453.75</f>
        <v>453.75</v>
      </c>
      <c r="AA31" s="5">
        <f>105.83</f>
        <v>105.83</v>
      </c>
      <c r="AB31" s="5">
        <f t="shared" si="40"/>
        <v>347.92</v>
      </c>
      <c r="AC31" s="6">
        <f t="shared" si="41"/>
        <v>4.2875366153264673</v>
      </c>
      <c r="AD31" s="4"/>
      <c r="AE31" s="5">
        <f>105.83</f>
        <v>105.83</v>
      </c>
      <c r="AF31" s="5">
        <f t="shared" si="42"/>
        <v>-105.83</v>
      </c>
      <c r="AG31" s="6">
        <f t="shared" si="43"/>
        <v>0</v>
      </c>
      <c r="AH31" s="4"/>
      <c r="AI31" s="5">
        <f>105.83</f>
        <v>105.83</v>
      </c>
      <c r="AJ31" s="5">
        <f t="shared" si="44"/>
        <v>-105.83</v>
      </c>
      <c r="AK31" s="6">
        <f t="shared" si="45"/>
        <v>0</v>
      </c>
      <c r="AL31" s="4"/>
      <c r="AM31" s="5">
        <f>105.83</f>
        <v>105.83</v>
      </c>
      <c r="AN31" s="5">
        <f t="shared" si="46"/>
        <v>-105.83</v>
      </c>
      <c r="AO31" s="6">
        <f t="shared" si="47"/>
        <v>0</v>
      </c>
      <c r="AP31" s="4"/>
      <c r="AQ31" s="5">
        <f>105.83</f>
        <v>105.83</v>
      </c>
      <c r="AR31" s="5">
        <f t="shared" si="48"/>
        <v>-105.83</v>
      </c>
      <c r="AS31" s="6">
        <f t="shared" si="49"/>
        <v>0</v>
      </c>
      <c r="AT31" s="4"/>
      <c r="AU31" s="5">
        <f>105.87</f>
        <v>105.87</v>
      </c>
      <c r="AV31" s="5">
        <f t="shared" si="50"/>
        <v>-105.87</v>
      </c>
      <c r="AW31" s="6">
        <f t="shared" si="51"/>
        <v>0</v>
      </c>
      <c r="AX31" s="5">
        <f t="shared" si="52"/>
        <v>1542.5</v>
      </c>
      <c r="AY31" s="19">
        <f t="shared" si="53"/>
        <v>1270</v>
      </c>
      <c r="AZ31" s="5">
        <f t="shared" si="54"/>
        <v>272.5</v>
      </c>
      <c r="BA31" s="6">
        <f t="shared" si="55"/>
        <v>1.2145669291338583</v>
      </c>
    </row>
    <row r="32" spans="1:53" x14ac:dyDescent="0.25">
      <c r="A32" s="3" t="s">
        <v>42</v>
      </c>
      <c r="B32" s="5">
        <f>10744</f>
        <v>10744</v>
      </c>
      <c r="C32" s="5">
        <f>11837.5</f>
        <v>11837.5</v>
      </c>
      <c r="D32" s="5">
        <f t="shared" si="28"/>
        <v>-1093.5</v>
      </c>
      <c r="E32" s="6">
        <f t="shared" si="29"/>
        <v>0.90762407602956707</v>
      </c>
      <c r="F32" s="5">
        <f>8888.5</f>
        <v>8888.5</v>
      </c>
      <c r="G32" s="5">
        <f>11837.5</f>
        <v>11837.5</v>
      </c>
      <c r="H32" s="5">
        <f t="shared" si="30"/>
        <v>-2949</v>
      </c>
      <c r="I32" s="6">
        <f t="shared" si="31"/>
        <v>0.75087645195353747</v>
      </c>
      <c r="J32" s="5">
        <f>9661</f>
        <v>9661</v>
      </c>
      <c r="K32" s="5">
        <f>11837.5</f>
        <v>11837.5</v>
      </c>
      <c r="L32" s="5">
        <f t="shared" si="32"/>
        <v>-2176.5</v>
      </c>
      <c r="M32" s="6">
        <f t="shared" si="33"/>
        <v>0.81613516367476235</v>
      </c>
      <c r="N32" s="5">
        <f>11206</f>
        <v>11206</v>
      </c>
      <c r="O32" s="5">
        <f>11837.5</f>
        <v>11837.5</v>
      </c>
      <c r="P32" s="5">
        <f t="shared" si="34"/>
        <v>-631.5</v>
      </c>
      <c r="Q32" s="6">
        <f t="shared" si="35"/>
        <v>0.94665258711721223</v>
      </c>
      <c r="R32" s="5">
        <f>11206</f>
        <v>11206</v>
      </c>
      <c r="S32" s="5">
        <f>11837.5</f>
        <v>11837.5</v>
      </c>
      <c r="T32" s="5">
        <f t="shared" si="36"/>
        <v>-631.5</v>
      </c>
      <c r="U32" s="6">
        <f t="shared" si="37"/>
        <v>0.94665258711721223</v>
      </c>
      <c r="V32" s="5">
        <f>16809</f>
        <v>16809</v>
      </c>
      <c r="W32" s="5">
        <f>11837.5</f>
        <v>11837.5</v>
      </c>
      <c r="X32" s="5">
        <f t="shared" si="38"/>
        <v>4971.5</v>
      </c>
      <c r="Y32" s="6">
        <f t="shared" si="39"/>
        <v>1.4199788806758185</v>
      </c>
      <c r="Z32" s="5">
        <f>10588</f>
        <v>10588</v>
      </c>
      <c r="AA32" s="5">
        <f>11837.5</f>
        <v>11837.5</v>
      </c>
      <c r="AB32" s="5">
        <f t="shared" si="40"/>
        <v>-1249.5</v>
      </c>
      <c r="AC32" s="6">
        <f t="shared" si="41"/>
        <v>0.89444561774023235</v>
      </c>
      <c r="AD32" s="5">
        <f>5603</f>
        <v>5603</v>
      </c>
      <c r="AE32" s="5">
        <f>11837.5</f>
        <v>11837.5</v>
      </c>
      <c r="AF32" s="5">
        <f t="shared" si="42"/>
        <v>-6234.5</v>
      </c>
      <c r="AG32" s="6">
        <f t="shared" si="43"/>
        <v>0.47332629355860611</v>
      </c>
      <c r="AH32" s="4"/>
      <c r="AI32" s="5">
        <f>11837.5</f>
        <v>11837.5</v>
      </c>
      <c r="AJ32" s="5">
        <f t="shared" si="44"/>
        <v>-11837.5</v>
      </c>
      <c r="AK32" s="6">
        <f t="shared" si="45"/>
        <v>0</v>
      </c>
      <c r="AL32" s="4"/>
      <c r="AM32" s="5">
        <f>11837.5</f>
        <v>11837.5</v>
      </c>
      <c r="AN32" s="5">
        <f t="shared" si="46"/>
        <v>-11837.5</v>
      </c>
      <c r="AO32" s="6">
        <f t="shared" si="47"/>
        <v>0</v>
      </c>
      <c r="AP32" s="4"/>
      <c r="AQ32" s="5">
        <f>11837.5</f>
        <v>11837.5</v>
      </c>
      <c r="AR32" s="5">
        <f t="shared" si="48"/>
        <v>-11837.5</v>
      </c>
      <c r="AS32" s="6">
        <f t="shared" si="49"/>
        <v>0</v>
      </c>
      <c r="AT32" s="4"/>
      <c r="AU32" s="5">
        <f>11837.5</f>
        <v>11837.5</v>
      </c>
      <c r="AV32" s="5">
        <f t="shared" si="50"/>
        <v>-11837.5</v>
      </c>
      <c r="AW32" s="6">
        <f t="shared" si="51"/>
        <v>0</v>
      </c>
      <c r="AX32" s="5">
        <f t="shared" si="52"/>
        <v>84705.5</v>
      </c>
      <c r="AY32" s="19">
        <f t="shared" si="53"/>
        <v>142050</v>
      </c>
      <c r="AZ32" s="5">
        <f t="shared" si="54"/>
        <v>-57344.5</v>
      </c>
      <c r="BA32" s="6">
        <f t="shared" si="55"/>
        <v>0.59630763815557897</v>
      </c>
    </row>
    <row r="33" spans="1:53" x14ac:dyDescent="0.25">
      <c r="A33" s="3" t="s">
        <v>43</v>
      </c>
      <c r="B33" s="4"/>
      <c r="C33" s="5">
        <f>83.33</f>
        <v>83.33</v>
      </c>
      <c r="D33" s="5">
        <f t="shared" si="28"/>
        <v>-83.33</v>
      </c>
      <c r="E33" s="6">
        <f t="shared" si="29"/>
        <v>0</v>
      </c>
      <c r="F33" s="5">
        <f>93</f>
        <v>93</v>
      </c>
      <c r="G33" s="5">
        <f>83.33</f>
        <v>83.33</v>
      </c>
      <c r="H33" s="5">
        <f t="shared" si="30"/>
        <v>9.6700000000000017</v>
      </c>
      <c r="I33" s="6">
        <f t="shared" si="31"/>
        <v>1.1160446417856715</v>
      </c>
      <c r="J33" s="5">
        <f>95</f>
        <v>95</v>
      </c>
      <c r="K33" s="5">
        <f>83.33</f>
        <v>83.33</v>
      </c>
      <c r="L33" s="5">
        <f t="shared" si="32"/>
        <v>11.670000000000002</v>
      </c>
      <c r="M33" s="6">
        <f t="shared" si="33"/>
        <v>1.140045601824073</v>
      </c>
      <c r="N33" s="5">
        <f>75</f>
        <v>75</v>
      </c>
      <c r="O33" s="5">
        <f>83.33</f>
        <v>83.33</v>
      </c>
      <c r="P33" s="5">
        <f t="shared" si="34"/>
        <v>-8.3299999999999983</v>
      </c>
      <c r="Q33" s="6">
        <f t="shared" si="35"/>
        <v>0.90003600144005758</v>
      </c>
      <c r="R33" s="4"/>
      <c r="S33" s="5">
        <f>83.33</f>
        <v>83.33</v>
      </c>
      <c r="T33" s="5">
        <f t="shared" si="36"/>
        <v>-83.33</v>
      </c>
      <c r="U33" s="6">
        <f t="shared" si="37"/>
        <v>0</v>
      </c>
      <c r="V33" s="4"/>
      <c r="W33" s="5">
        <f>83.33</f>
        <v>83.33</v>
      </c>
      <c r="X33" s="5">
        <f t="shared" si="38"/>
        <v>-83.33</v>
      </c>
      <c r="Y33" s="6">
        <f t="shared" si="39"/>
        <v>0</v>
      </c>
      <c r="Z33" s="4"/>
      <c r="AA33" s="5">
        <f>83.33</f>
        <v>83.33</v>
      </c>
      <c r="AB33" s="5">
        <f t="shared" si="40"/>
        <v>-83.33</v>
      </c>
      <c r="AC33" s="6">
        <f t="shared" si="41"/>
        <v>0</v>
      </c>
      <c r="AD33" s="4"/>
      <c r="AE33" s="5">
        <f>83.33</f>
        <v>83.33</v>
      </c>
      <c r="AF33" s="5">
        <f t="shared" si="42"/>
        <v>-83.33</v>
      </c>
      <c r="AG33" s="6">
        <f t="shared" si="43"/>
        <v>0</v>
      </c>
      <c r="AH33" s="4"/>
      <c r="AI33" s="5">
        <f>83.33</f>
        <v>83.33</v>
      </c>
      <c r="AJ33" s="5">
        <f t="shared" si="44"/>
        <v>-83.33</v>
      </c>
      <c r="AK33" s="6">
        <f t="shared" si="45"/>
        <v>0</v>
      </c>
      <c r="AL33" s="4"/>
      <c r="AM33" s="5">
        <f>83.33</f>
        <v>83.33</v>
      </c>
      <c r="AN33" s="5">
        <f t="shared" si="46"/>
        <v>-83.33</v>
      </c>
      <c r="AO33" s="6">
        <f t="shared" si="47"/>
        <v>0</v>
      </c>
      <c r="AP33" s="4"/>
      <c r="AQ33" s="5">
        <f>83.33</f>
        <v>83.33</v>
      </c>
      <c r="AR33" s="5">
        <f t="shared" si="48"/>
        <v>-83.33</v>
      </c>
      <c r="AS33" s="6">
        <f t="shared" si="49"/>
        <v>0</v>
      </c>
      <c r="AT33" s="4"/>
      <c r="AU33" s="5">
        <f>83.37</f>
        <v>83.37</v>
      </c>
      <c r="AV33" s="5">
        <f t="shared" si="50"/>
        <v>-83.37</v>
      </c>
      <c r="AW33" s="6">
        <f t="shared" si="51"/>
        <v>0</v>
      </c>
      <c r="AX33" s="5">
        <f t="shared" si="52"/>
        <v>263</v>
      </c>
      <c r="AY33" s="19">
        <f t="shared" si="53"/>
        <v>1000.0000000000001</v>
      </c>
      <c r="AZ33" s="5">
        <f t="shared" si="54"/>
        <v>-737.00000000000011</v>
      </c>
      <c r="BA33" s="6">
        <f t="shared" si="55"/>
        <v>0.26299999999999996</v>
      </c>
    </row>
    <row r="34" spans="1:53" x14ac:dyDescent="0.25">
      <c r="A34" s="3" t="s">
        <v>44</v>
      </c>
      <c r="B34" s="5">
        <f>1176.47</f>
        <v>1176.47</v>
      </c>
      <c r="C34" s="5">
        <f>1183.75</f>
        <v>1183.75</v>
      </c>
      <c r="D34" s="5">
        <f t="shared" si="28"/>
        <v>-7.2799999999999727</v>
      </c>
      <c r="E34" s="6">
        <f t="shared" si="29"/>
        <v>0.99385005279831051</v>
      </c>
      <c r="F34" s="5">
        <f>944.09</f>
        <v>944.09</v>
      </c>
      <c r="G34" s="5">
        <f>1183.75</f>
        <v>1183.75</v>
      </c>
      <c r="H34" s="5">
        <f t="shared" si="30"/>
        <v>-239.65999999999997</v>
      </c>
      <c r="I34" s="6">
        <f t="shared" si="31"/>
        <v>0.7975417106652587</v>
      </c>
      <c r="J34" s="5">
        <f>904.94</f>
        <v>904.94</v>
      </c>
      <c r="K34" s="5">
        <f>1183.75</f>
        <v>1183.75</v>
      </c>
      <c r="L34" s="5">
        <f t="shared" si="32"/>
        <v>-278.80999999999995</v>
      </c>
      <c r="M34" s="6">
        <f t="shared" si="33"/>
        <v>0.7644688489968321</v>
      </c>
      <c r="N34" s="5">
        <f>1162.03</f>
        <v>1162.03</v>
      </c>
      <c r="O34" s="5">
        <f>1183.75</f>
        <v>1183.75</v>
      </c>
      <c r="P34" s="5">
        <f t="shared" si="34"/>
        <v>-21.720000000000027</v>
      </c>
      <c r="Q34" s="6">
        <f t="shared" si="35"/>
        <v>0.98165153115100312</v>
      </c>
      <c r="R34" s="5">
        <f>1206.15</f>
        <v>1206.1500000000001</v>
      </c>
      <c r="S34" s="5">
        <f>1183.75</f>
        <v>1183.75</v>
      </c>
      <c r="T34" s="5">
        <f t="shared" si="36"/>
        <v>22.400000000000091</v>
      </c>
      <c r="U34" s="6">
        <f t="shared" si="37"/>
        <v>1.0189229144667371</v>
      </c>
      <c r="V34" s="5">
        <f>1662.92</f>
        <v>1662.92</v>
      </c>
      <c r="W34" s="5">
        <f>1183.75</f>
        <v>1183.75</v>
      </c>
      <c r="X34" s="5">
        <f t="shared" si="38"/>
        <v>479.17000000000007</v>
      </c>
      <c r="Y34" s="6">
        <f t="shared" si="39"/>
        <v>1.4047898627243929</v>
      </c>
      <c r="Z34" s="5">
        <f>1266.18</f>
        <v>1266.18</v>
      </c>
      <c r="AA34" s="5">
        <f>1183.75</f>
        <v>1183.75</v>
      </c>
      <c r="AB34" s="5">
        <f t="shared" si="40"/>
        <v>82.430000000000064</v>
      </c>
      <c r="AC34" s="6">
        <f t="shared" si="41"/>
        <v>1.069634635691658</v>
      </c>
      <c r="AD34" s="5">
        <f>630.33</f>
        <v>630.33000000000004</v>
      </c>
      <c r="AE34" s="5">
        <f>1183.75</f>
        <v>1183.75</v>
      </c>
      <c r="AF34" s="5">
        <f t="shared" si="42"/>
        <v>-553.41999999999996</v>
      </c>
      <c r="AG34" s="6">
        <f t="shared" si="43"/>
        <v>0.53248574445617747</v>
      </c>
      <c r="AH34" s="4"/>
      <c r="AI34" s="5">
        <f>1183.75</f>
        <v>1183.75</v>
      </c>
      <c r="AJ34" s="5">
        <f t="shared" si="44"/>
        <v>-1183.75</v>
      </c>
      <c r="AK34" s="6">
        <f t="shared" si="45"/>
        <v>0</v>
      </c>
      <c r="AL34" s="4"/>
      <c r="AM34" s="5">
        <f>1183.75</f>
        <v>1183.75</v>
      </c>
      <c r="AN34" s="5">
        <f t="shared" si="46"/>
        <v>-1183.75</v>
      </c>
      <c r="AO34" s="6">
        <f t="shared" si="47"/>
        <v>0</v>
      </c>
      <c r="AP34" s="4"/>
      <c r="AQ34" s="5">
        <f>1183.75</f>
        <v>1183.75</v>
      </c>
      <c r="AR34" s="5">
        <f t="shared" si="48"/>
        <v>-1183.75</v>
      </c>
      <c r="AS34" s="6">
        <f t="shared" si="49"/>
        <v>0</v>
      </c>
      <c r="AT34" s="4"/>
      <c r="AU34" s="5">
        <f>1183.75</f>
        <v>1183.75</v>
      </c>
      <c r="AV34" s="5">
        <f t="shared" si="50"/>
        <v>-1183.75</v>
      </c>
      <c r="AW34" s="6">
        <f t="shared" si="51"/>
        <v>0</v>
      </c>
      <c r="AX34" s="5">
        <f t="shared" si="52"/>
        <v>8953.11</v>
      </c>
      <c r="AY34" s="19">
        <f t="shared" si="53"/>
        <v>14205</v>
      </c>
      <c r="AZ34" s="5">
        <f t="shared" si="54"/>
        <v>-5251.8899999999994</v>
      </c>
      <c r="BA34" s="6">
        <f t="shared" si="55"/>
        <v>0.6302787750791975</v>
      </c>
    </row>
    <row r="35" spans="1:53" x14ac:dyDescent="0.25">
      <c r="A35" s="3" t="s">
        <v>45</v>
      </c>
      <c r="B35" s="7">
        <f>((((B30)+(B31))+(B32))+(B33))+(B34)</f>
        <v>12191.47</v>
      </c>
      <c r="C35" s="7">
        <f>((((C30)+(C31))+(C32))+(C33))+(C34)</f>
        <v>13210.41</v>
      </c>
      <c r="D35" s="7">
        <f t="shared" si="28"/>
        <v>-1018.9400000000005</v>
      </c>
      <c r="E35" s="8">
        <f t="shared" si="29"/>
        <v>0.92286840453854191</v>
      </c>
      <c r="F35" s="7">
        <f>((((F30)+(F31))+(F32))+(F33))+(F34)</f>
        <v>10081.59</v>
      </c>
      <c r="G35" s="7">
        <f>((((G30)+(G31))+(G32))+(G33))+(G34)</f>
        <v>13210.41</v>
      </c>
      <c r="H35" s="7">
        <f t="shared" si="30"/>
        <v>-3128.8199999999997</v>
      </c>
      <c r="I35" s="8">
        <f t="shared" si="31"/>
        <v>0.76315496642420644</v>
      </c>
      <c r="J35" s="7">
        <f>((((J30)+(J31))+(J32))+(J33))+(J34)</f>
        <v>10816.94</v>
      </c>
      <c r="K35" s="7">
        <f>((((K30)+(K31))+(K32))+(K33))+(K34)</f>
        <v>13210.41</v>
      </c>
      <c r="L35" s="7">
        <f t="shared" si="32"/>
        <v>-2393.4699999999993</v>
      </c>
      <c r="M35" s="8">
        <f t="shared" si="33"/>
        <v>0.81881940076046089</v>
      </c>
      <c r="N35" s="7">
        <f>((((N30)+(N31))+(N32))+(N33))+(N34)</f>
        <v>12627.78</v>
      </c>
      <c r="O35" s="7">
        <f>((((O30)+(O31))+(O32))+(O33))+(O34)</f>
        <v>13210.41</v>
      </c>
      <c r="P35" s="7">
        <f t="shared" si="34"/>
        <v>-582.6299999999992</v>
      </c>
      <c r="Q35" s="8">
        <f t="shared" si="35"/>
        <v>0.95589614553976754</v>
      </c>
      <c r="R35" s="7">
        <f>((((R30)+(R31))+(R32))+(R33))+(R34)</f>
        <v>12568.15</v>
      </c>
      <c r="S35" s="7">
        <f>((((S30)+(S31))+(S32))+(S33))+(S34)</f>
        <v>13210.41</v>
      </c>
      <c r="T35" s="7">
        <f t="shared" si="36"/>
        <v>-642.26000000000022</v>
      </c>
      <c r="U35" s="8">
        <f t="shared" si="37"/>
        <v>0.95138228109498491</v>
      </c>
      <c r="V35" s="7">
        <f>((((V30)+(V31))+(V32))+(V33))+(V34)</f>
        <v>18636.919999999998</v>
      </c>
      <c r="W35" s="7">
        <f>((((W30)+(W31))+(W32))+(W33))+(W34)</f>
        <v>13210.41</v>
      </c>
      <c r="X35" s="7">
        <f t="shared" si="38"/>
        <v>5426.5099999999984</v>
      </c>
      <c r="Y35" s="8">
        <f t="shared" si="39"/>
        <v>1.4107752900931916</v>
      </c>
      <c r="Z35" s="7">
        <f>((((Z30)+(Z31))+(Z32))+(Z33))+(Z34)</f>
        <v>12307.93</v>
      </c>
      <c r="AA35" s="7">
        <f>((((AA30)+(AA31))+(AA32))+(AA33))+(AA34)</f>
        <v>13210.41</v>
      </c>
      <c r="AB35" s="7">
        <f t="shared" si="40"/>
        <v>-902.47999999999956</v>
      </c>
      <c r="AC35" s="8">
        <f t="shared" si="41"/>
        <v>0.93168417937066306</v>
      </c>
      <c r="AD35" s="7">
        <f>((((AD30)+(AD31))+(AD32))+(AD33))+(AD34)</f>
        <v>6233.33</v>
      </c>
      <c r="AE35" s="7">
        <f>((((AE30)+(AE31))+(AE32))+(AE33))+(AE34)</f>
        <v>13210.41</v>
      </c>
      <c r="AF35" s="7">
        <f t="shared" si="42"/>
        <v>-6977.08</v>
      </c>
      <c r="AG35" s="8">
        <f t="shared" si="43"/>
        <v>0.47184985174570659</v>
      </c>
      <c r="AH35" s="7">
        <f>((((AH30)+(AH31))+(AH32))+(AH33))+(AH34)</f>
        <v>0</v>
      </c>
      <c r="AI35" s="7">
        <f>((((AI30)+(AI31))+(AI32))+(AI33))+(AI34)</f>
        <v>13210.41</v>
      </c>
      <c r="AJ35" s="7">
        <f t="shared" si="44"/>
        <v>-13210.41</v>
      </c>
      <c r="AK35" s="8">
        <f t="shared" si="45"/>
        <v>0</v>
      </c>
      <c r="AL35" s="7">
        <f>((((AL30)+(AL31))+(AL32))+(AL33))+(AL34)</f>
        <v>0</v>
      </c>
      <c r="AM35" s="7">
        <f>((((AM30)+(AM31))+(AM32))+(AM33))+(AM34)</f>
        <v>13210.41</v>
      </c>
      <c r="AN35" s="7">
        <f t="shared" si="46"/>
        <v>-13210.41</v>
      </c>
      <c r="AO35" s="8">
        <f t="shared" si="47"/>
        <v>0</v>
      </c>
      <c r="AP35" s="7">
        <f>((((AP30)+(AP31))+(AP32))+(AP33))+(AP34)</f>
        <v>0</v>
      </c>
      <c r="AQ35" s="7">
        <f>((((AQ30)+(AQ31))+(AQ32))+(AQ33))+(AQ34)</f>
        <v>13210.41</v>
      </c>
      <c r="AR35" s="7">
        <f t="shared" si="48"/>
        <v>-13210.41</v>
      </c>
      <c r="AS35" s="8">
        <f t="shared" si="49"/>
        <v>0</v>
      </c>
      <c r="AT35" s="7">
        <f>((((AT30)+(AT31))+(AT32))+(AT33))+(AT34)</f>
        <v>0</v>
      </c>
      <c r="AU35" s="7">
        <f>((((AU30)+(AU31))+(AU32))+(AU33))+(AU34)</f>
        <v>13210.490000000002</v>
      </c>
      <c r="AV35" s="7">
        <f t="shared" si="50"/>
        <v>-13210.490000000002</v>
      </c>
      <c r="AW35" s="8">
        <f t="shared" si="51"/>
        <v>0</v>
      </c>
      <c r="AX35" s="7">
        <f t="shared" si="52"/>
        <v>95464.11</v>
      </c>
      <c r="AY35" s="20">
        <f t="shared" si="53"/>
        <v>158525</v>
      </c>
      <c r="AZ35" s="7">
        <f t="shared" si="54"/>
        <v>-63060.89</v>
      </c>
      <c r="BA35" s="8">
        <f t="shared" si="55"/>
        <v>0.6022022393944173</v>
      </c>
    </row>
    <row r="36" spans="1:53" x14ac:dyDescent="0.25">
      <c r="A36" s="3" t="s">
        <v>46</v>
      </c>
      <c r="B36" s="4"/>
      <c r="C36" s="4"/>
      <c r="D36" s="5">
        <f t="shared" si="28"/>
        <v>0</v>
      </c>
      <c r="E36" s="6" t="str">
        <f t="shared" si="29"/>
        <v/>
      </c>
      <c r="F36" s="4"/>
      <c r="G36" s="4"/>
      <c r="H36" s="5">
        <f t="shared" si="30"/>
        <v>0</v>
      </c>
      <c r="I36" s="6" t="str">
        <f t="shared" si="31"/>
        <v/>
      </c>
      <c r="J36" s="4"/>
      <c r="K36" s="4"/>
      <c r="L36" s="5">
        <f t="shared" si="32"/>
        <v>0</v>
      </c>
      <c r="M36" s="6" t="str">
        <f t="shared" si="33"/>
        <v/>
      </c>
      <c r="N36" s="4"/>
      <c r="O36" s="4"/>
      <c r="P36" s="5">
        <f t="shared" si="34"/>
        <v>0</v>
      </c>
      <c r="Q36" s="6" t="str">
        <f t="shared" si="35"/>
        <v/>
      </c>
      <c r="R36" s="4"/>
      <c r="S36" s="4"/>
      <c r="T36" s="5">
        <f t="shared" si="36"/>
        <v>0</v>
      </c>
      <c r="U36" s="6" t="str">
        <f t="shared" si="37"/>
        <v/>
      </c>
      <c r="V36" s="4"/>
      <c r="W36" s="4"/>
      <c r="X36" s="5">
        <f t="shared" si="38"/>
        <v>0</v>
      </c>
      <c r="Y36" s="6" t="str">
        <f t="shared" si="39"/>
        <v/>
      </c>
      <c r="Z36" s="4"/>
      <c r="AA36" s="4"/>
      <c r="AB36" s="5">
        <f t="shared" si="40"/>
        <v>0</v>
      </c>
      <c r="AC36" s="6" t="str">
        <f t="shared" si="41"/>
        <v/>
      </c>
      <c r="AD36" s="4"/>
      <c r="AE36" s="4"/>
      <c r="AF36" s="5">
        <f t="shared" si="42"/>
        <v>0</v>
      </c>
      <c r="AG36" s="6" t="str">
        <f t="shared" si="43"/>
        <v/>
      </c>
      <c r="AH36" s="4"/>
      <c r="AI36" s="4"/>
      <c r="AJ36" s="5">
        <f t="shared" si="44"/>
        <v>0</v>
      </c>
      <c r="AK36" s="6" t="str">
        <f t="shared" si="45"/>
        <v/>
      </c>
      <c r="AL36" s="4"/>
      <c r="AM36" s="4"/>
      <c r="AN36" s="5">
        <f t="shared" si="46"/>
        <v>0</v>
      </c>
      <c r="AO36" s="6" t="str">
        <f t="shared" si="47"/>
        <v/>
      </c>
      <c r="AP36" s="4"/>
      <c r="AQ36" s="4"/>
      <c r="AR36" s="5">
        <f t="shared" si="48"/>
        <v>0</v>
      </c>
      <c r="AS36" s="6" t="str">
        <f t="shared" si="49"/>
        <v/>
      </c>
      <c r="AT36" s="4"/>
      <c r="AU36" s="4"/>
      <c r="AV36" s="5">
        <f t="shared" si="50"/>
        <v>0</v>
      </c>
      <c r="AW36" s="6" t="str">
        <f t="shared" si="51"/>
        <v/>
      </c>
      <c r="AX36" s="5">
        <f t="shared" si="52"/>
        <v>0</v>
      </c>
      <c r="AY36" s="19">
        <f t="shared" si="53"/>
        <v>0</v>
      </c>
      <c r="AZ36" s="5">
        <f t="shared" si="54"/>
        <v>0</v>
      </c>
      <c r="BA36" s="6" t="str">
        <f t="shared" si="55"/>
        <v/>
      </c>
    </row>
    <row r="37" spans="1:53" x14ac:dyDescent="0.25">
      <c r="A37" s="3" t="s">
        <v>47</v>
      </c>
      <c r="B37" s="5">
        <f>2200</f>
        <v>2200</v>
      </c>
      <c r="C37" s="5">
        <f>2200</f>
        <v>2200</v>
      </c>
      <c r="D37" s="5">
        <f t="shared" si="28"/>
        <v>0</v>
      </c>
      <c r="E37" s="6">
        <f t="shared" si="29"/>
        <v>1</v>
      </c>
      <c r="F37" s="5">
        <f>2200</f>
        <v>2200</v>
      </c>
      <c r="G37" s="5">
        <f>2200</f>
        <v>2200</v>
      </c>
      <c r="H37" s="5">
        <f t="shared" si="30"/>
        <v>0</v>
      </c>
      <c r="I37" s="6">
        <f t="shared" si="31"/>
        <v>1</v>
      </c>
      <c r="J37" s="5">
        <f>2200</f>
        <v>2200</v>
      </c>
      <c r="K37" s="5">
        <f>2200</f>
        <v>2200</v>
      </c>
      <c r="L37" s="5">
        <f t="shared" si="32"/>
        <v>0</v>
      </c>
      <c r="M37" s="6">
        <f t="shared" si="33"/>
        <v>1</v>
      </c>
      <c r="N37" s="5">
        <f>2200</f>
        <v>2200</v>
      </c>
      <c r="O37" s="5">
        <f>2200</f>
        <v>2200</v>
      </c>
      <c r="P37" s="5">
        <f t="shared" si="34"/>
        <v>0</v>
      </c>
      <c r="Q37" s="6">
        <f t="shared" si="35"/>
        <v>1</v>
      </c>
      <c r="R37" s="5">
        <f>2200</f>
        <v>2200</v>
      </c>
      <c r="S37" s="5">
        <f>2200</f>
        <v>2200</v>
      </c>
      <c r="T37" s="5">
        <f t="shared" si="36"/>
        <v>0</v>
      </c>
      <c r="U37" s="6">
        <f t="shared" si="37"/>
        <v>1</v>
      </c>
      <c r="V37" s="5">
        <f>2200</f>
        <v>2200</v>
      </c>
      <c r="W37" s="5">
        <f>2200</f>
        <v>2200</v>
      </c>
      <c r="X37" s="5">
        <f t="shared" si="38"/>
        <v>0</v>
      </c>
      <c r="Y37" s="6">
        <f t="shared" si="39"/>
        <v>1</v>
      </c>
      <c r="Z37" s="5">
        <f>2200</f>
        <v>2200</v>
      </c>
      <c r="AA37" s="5">
        <f>2200</f>
        <v>2200</v>
      </c>
      <c r="AB37" s="5">
        <f t="shared" si="40"/>
        <v>0</v>
      </c>
      <c r="AC37" s="6">
        <f t="shared" si="41"/>
        <v>1</v>
      </c>
      <c r="AD37" s="5">
        <f>2200</f>
        <v>2200</v>
      </c>
      <c r="AE37" s="5">
        <f>2200</f>
        <v>2200</v>
      </c>
      <c r="AF37" s="5">
        <f t="shared" si="42"/>
        <v>0</v>
      </c>
      <c r="AG37" s="6">
        <f t="shared" si="43"/>
        <v>1</v>
      </c>
      <c r="AH37" s="4"/>
      <c r="AI37" s="5">
        <f>2200</f>
        <v>2200</v>
      </c>
      <c r="AJ37" s="5">
        <f t="shared" si="44"/>
        <v>-2200</v>
      </c>
      <c r="AK37" s="6">
        <f t="shared" si="45"/>
        <v>0</v>
      </c>
      <c r="AL37" s="4"/>
      <c r="AM37" s="5">
        <f>2200</f>
        <v>2200</v>
      </c>
      <c r="AN37" s="5">
        <f t="shared" si="46"/>
        <v>-2200</v>
      </c>
      <c r="AO37" s="6">
        <f t="shared" si="47"/>
        <v>0</v>
      </c>
      <c r="AP37" s="4"/>
      <c r="AQ37" s="5">
        <f>2200</f>
        <v>2200</v>
      </c>
      <c r="AR37" s="5">
        <f t="shared" si="48"/>
        <v>-2200</v>
      </c>
      <c r="AS37" s="6">
        <f t="shared" si="49"/>
        <v>0</v>
      </c>
      <c r="AT37" s="4"/>
      <c r="AU37" s="5">
        <f>2200</f>
        <v>2200</v>
      </c>
      <c r="AV37" s="5">
        <f t="shared" si="50"/>
        <v>-2200</v>
      </c>
      <c r="AW37" s="6">
        <f t="shared" si="51"/>
        <v>0</v>
      </c>
      <c r="AX37" s="5">
        <f t="shared" si="52"/>
        <v>17600</v>
      </c>
      <c r="AY37" s="19">
        <f t="shared" si="53"/>
        <v>26400</v>
      </c>
      <c r="AZ37" s="5">
        <f t="shared" si="54"/>
        <v>-8800</v>
      </c>
      <c r="BA37" s="6">
        <f t="shared" si="55"/>
        <v>0.66666666666666663</v>
      </c>
    </row>
    <row r="38" spans="1:53" x14ac:dyDescent="0.25">
      <c r="A38" s="3" t="s">
        <v>48</v>
      </c>
      <c r="B38" s="5">
        <f>1500</f>
        <v>1500</v>
      </c>
      <c r="C38" s="5">
        <f>0</f>
        <v>0</v>
      </c>
      <c r="D38" s="5">
        <f t="shared" si="28"/>
        <v>1500</v>
      </c>
      <c r="E38" s="6" t="str">
        <f t="shared" si="29"/>
        <v/>
      </c>
      <c r="F38" s="4"/>
      <c r="G38" s="5">
        <f>0</f>
        <v>0</v>
      </c>
      <c r="H38" s="5">
        <f t="shared" si="30"/>
        <v>0</v>
      </c>
      <c r="I38" s="6" t="str">
        <f t="shared" si="31"/>
        <v/>
      </c>
      <c r="J38" s="4"/>
      <c r="K38" s="5">
        <f>0</f>
        <v>0</v>
      </c>
      <c r="L38" s="5">
        <f t="shared" si="32"/>
        <v>0</v>
      </c>
      <c r="M38" s="6" t="str">
        <f t="shared" si="33"/>
        <v/>
      </c>
      <c r="N38" s="4"/>
      <c r="O38" s="5">
        <f>0</f>
        <v>0</v>
      </c>
      <c r="P38" s="5">
        <f t="shared" si="34"/>
        <v>0</v>
      </c>
      <c r="Q38" s="6" t="str">
        <f t="shared" si="35"/>
        <v/>
      </c>
      <c r="R38" s="5">
        <f>2050</f>
        <v>2050</v>
      </c>
      <c r="S38" s="5">
        <f>2000</f>
        <v>2000</v>
      </c>
      <c r="T38" s="5">
        <f t="shared" si="36"/>
        <v>50</v>
      </c>
      <c r="U38" s="6">
        <f t="shared" si="37"/>
        <v>1.0249999999999999</v>
      </c>
      <c r="V38" s="4"/>
      <c r="W38" s="5">
        <f>4500</f>
        <v>4500</v>
      </c>
      <c r="X38" s="5">
        <f t="shared" si="38"/>
        <v>-4500</v>
      </c>
      <c r="Y38" s="6">
        <f t="shared" si="39"/>
        <v>0</v>
      </c>
      <c r="Z38" s="5">
        <f>4755</f>
        <v>4755</v>
      </c>
      <c r="AA38" s="5">
        <f>1000</f>
        <v>1000</v>
      </c>
      <c r="AB38" s="5">
        <f t="shared" si="40"/>
        <v>3755</v>
      </c>
      <c r="AC38" s="6">
        <f t="shared" si="41"/>
        <v>4.7549999999999999</v>
      </c>
      <c r="AD38" s="4"/>
      <c r="AE38" s="5">
        <f>0</f>
        <v>0</v>
      </c>
      <c r="AF38" s="5">
        <f t="shared" si="42"/>
        <v>0</v>
      </c>
      <c r="AG38" s="6" t="str">
        <f t="shared" si="43"/>
        <v/>
      </c>
      <c r="AH38" s="4"/>
      <c r="AI38" s="5">
        <f>2000</f>
        <v>2000</v>
      </c>
      <c r="AJ38" s="5">
        <f t="shared" si="44"/>
        <v>-2000</v>
      </c>
      <c r="AK38" s="6">
        <f t="shared" si="45"/>
        <v>0</v>
      </c>
      <c r="AL38" s="4"/>
      <c r="AM38" s="5">
        <f>0</f>
        <v>0</v>
      </c>
      <c r="AN38" s="5">
        <f t="shared" si="46"/>
        <v>0</v>
      </c>
      <c r="AO38" s="6" t="str">
        <f t="shared" si="47"/>
        <v/>
      </c>
      <c r="AP38" s="4"/>
      <c r="AQ38" s="5">
        <f>0</f>
        <v>0</v>
      </c>
      <c r="AR38" s="5">
        <f t="shared" si="48"/>
        <v>0</v>
      </c>
      <c r="AS38" s="6" t="str">
        <f t="shared" si="49"/>
        <v/>
      </c>
      <c r="AT38" s="4"/>
      <c r="AU38" s="5">
        <f>0</f>
        <v>0</v>
      </c>
      <c r="AV38" s="5">
        <f t="shared" si="50"/>
        <v>0</v>
      </c>
      <c r="AW38" s="6" t="str">
        <f t="shared" si="51"/>
        <v/>
      </c>
      <c r="AX38" s="5">
        <f t="shared" si="52"/>
        <v>8305</v>
      </c>
      <c r="AY38" s="19">
        <f t="shared" si="53"/>
        <v>9500</v>
      </c>
      <c r="AZ38" s="5">
        <f t="shared" si="54"/>
        <v>-1195</v>
      </c>
      <c r="BA38" s="6">
        <f t="shared" si="55"/>
        <v>0.87421052631578944</v>
      </c>
    </row>
    <row r="39" spans="1:53" x14ac:dyDescent="0.25">
      <c r="A39" s="3" t="s">
        <v>49</v>
      </c>
      <c r="B39" s="4"/>
      <c r="C39" s="5">
        <f>83.33</f>
        <v>83.33</v>
      </c>
      <c r="D39" s="5">
        <f t="shared" si="28"/>
        <v>-83.33</v>
      </c>
      <c r="E39" s="6">
        <f t="shared" si="29"/>
        <v>0</v>
      </c>
      <c r="F39" s="4"/>
      <c r="G39" s="5">
        <f>83.33</f>
        <v>83.33</v>
      </c>
      <c r="H39" s="5">
        <f t="shared" si="30"/>
        <v>-83.33</v>
      </c>
      <c r="I39" s="6">
        <f t="shared" si="31"/>
        <v>0</v>
      </c>
      <c r="J39" s="4"/>
      <c r="K39" s="5">
        <f>83.33</f>
        <v>83.33</v>
      </c>
      <c r="L39" s="5">
        <f t="shared" si="32"/>
        <v>-83.33</v>
      </c>
      <c r="M39" s="6">
        <f t="shared" si="33"/>
        <v>0</v>
      </c>
      <c r="N39" s="4"/>
      <c r="O39" s="5">
        <f>83.33</f>
        <v>83.33</v>
      </c>
      <c r="P39" s="5">
        <f t="shared" si="34"/>
        <v>-83.33</v>
      </c>
      <c r="Q39" s="6">
        <f t="shared" si="35"/>
        <v>0</v>
      </c>
      <c r="R39" s="4"/>
      <c r="S39" s="5">
        <f>83.33</f>
        <v>83.33</v>
      </c>
      <c r="T39" s="5">
        <f t="shared" si="36"/>
        <v>-83.33</v>
      </c>
      <c r="U39" s="6">
        <f t="shared" si="37"/>
        <v>0</v>
      </c>
      <c r="V39" s="4"/>
      <c r="W39" s="5">
        <f>83.33</f>
        <v>83.33</v>
      </c>
      <c r="X39" s="5">
        <f t="shared" si="38"/>
        <v>-83.33</v>
      </c>
      <c r="Y39" s="6">
        <f t="shared" si="39"/>
        <v>0</v>
      </c>
      <c r="Z39" s="4"/>
      <c r="AA39" s="5">
        <f>83.33</f>
        <v>83.33</v>
      </c>
      <c r="AB39" s="5">
        <f t="shared" si="40"/>
        <v>-83.33</v>
      </c>
      <c r="AC39" s="6">
        <f t="shared" si="41"/>
        <v>0</v>
      </c>
      <c r="AD39" s="4"/>
      <c r="AE39" s="5">
        <f>83.33</f>
        <v>83.33</v>
      </c>
      <c r="AF39" s="5">
        <f t="shared" si="42"/>
        <v>-83.33</v>
      </c>
      <c r="AG39" s="6">
        <f t="shared" si="43"/>
        <v>0</v>
      </c>
      <c r="AH39" s="4"/>
      <c r="AI39" s="5">
        <f>83.33</f>
        <v>83.33</v>
      </c>
      <c r="AJ39" s="5">
        <f t="shared" si="44"/>
        <v>-83.33</v>
      </c>
      <c r="AK39" s="6">
        <f t="shared" si="45"/>
        <v>0</v>
      </c>
      <c r="AL39" s="4"/>
      <c r="AM39" s="5">
        <f>83.33</f>
        <v>83.33</v>
      </c>
      <c r="AN39" s="5">
        <f t="shared" si="46"/>
        <v>-83.33</v>
      </c>
      <c r="AO39" s="6">
        <f t="shared" si="47"/>
        <v>0</v>
      </c>
      <c r="AP39" s="4"/>
      <c r="AQ39" s="5">
        <f>83.33</f>
        <v>83.33</v>
      </c>
      <c r="AR39" s="5">
        <f t="shared" si="48"/>
        <v>-83.33</v>
      </c>
      <c r="AS39" s="6">
        <f t="shared" si="49"/>
        <v>0</v>
      </c>
      <c r="AT39" s="4"/>
      <c r="AU39" s="5">
        <f>83.37</f>
        <v>83.37</v>
      </c>
      <c r="AV39" s="5">
        <f t="shared" si="50"/>
        <v>-83.37</v>
      </c>
      <c r="AW39" s="6">
        <f t="shared" si="51"/>
        <v>0</v>
      </c>
      <c r="AX39" s="5">
        <f t="shared" si="52"/>
        <v>0</v>
      </c>
      <c r="AY39" s="19">
        <f t="shared" si="53"/>
        <v>1000.0000000000001</v>
      </c>
      <c r="AZ39" s="5">
        <f t="shared" si="54"/>
        <v>-1000.0000000000001</v>
      </c>
      <c r="BA39" s="6">
        <f t="shared" si="55"/>
        <v>0</v>
      </c>
    </row>
    <row r="40" spans="1:53" x14ac:dyDescent="0.25">
      <c r="A40" s="3" t="s">
        <v>50</v>
      </c>
      <c r="B40" s="7">
        <f>(((B36)+(B37))+(B38))+(B39)</f>
        <v>3700</v>
      </c>
      <c r="C40" s="7">
        <f>(((C36)+(C37))+(C38))+(C39)</f>
        <v>2283.33</v>
      </c>
      <c r="D40" s="7">
        <f t="shared" si="28"/>
        <v>1416.67</v>
      </c>
      <c r="E40" s="8">
        <f t="shared" si="29"/>
        <v>1.6204403218106889</v>
      </c>
      <c r="F40" s="7">
        <f>(((F36)+(F37))+(F38))+(F39)</f>
        <v>2200</v>
      </c>
      <c r="G40" s="7">
        <f>(((G36)+(G37))+(G38))+(G39)</f>
        <v>2283.33</v>
      </c>
      <c r="H40" s="7">
        <f t="shared" si="30"/>
        <v>-83.329999999999927</v>
      </c>
      <c r="I40" s="8">
        <f t="shared" si="31"/>
        <v>0.96350505621176097</v>
      </c>
      <c r="J40" s="7">
        <f>(((J36)+(J37))+(J38))+(J39)</f>
        <v>2200</v>
      </c>
      <c r="K40" s="7">
        <f>(((K36)+(K37))+(K38))+(K39)</f>
        <v>2283.33</v>
      </c>
      <c r="L40" s="7">
        <f t="shared" si="32"/>
        <v>-83.329999999999927</v>
      </c>
      <c r="M40" s="8">
        <f t="shared" si="33"/>
        <v>0.96350505621176097</v>
      </c>
      <c r="N40" s="7">
        <f>(((N36)+(N37))+(N38))+(N39)</f>
        <v>2200</v>
      </c>
      <c r="O40" s="7">
        <f>(((O36)+(O37))+(O38))+(O39)</f>
        <v>2283.33</v>
      </c>
      <c r="P40" s="7">
        <f t="shared" si="34"/>
        <v>-83.329999999999927</v>
      </c>
      <c r="Q40" s="8">
        <f t="shared" si="35"/>
        <v>0.96350505621176097</v>
      </c>
      <c r="R40" s="7">
        <f>(((R36)+(R37))+(R38))+(R39)</f>
        <v>4250</v>
      </c>
      <c r="S40" s="7">
        <f>(((S36)+(S37))+(S38))+(S39)</f>
        <v>4283.33</v>
      </c>
      <c r="T40" s="7">
        <f t="shared" si="36"/>
        <v>-33.329999999999927</v>
      </c>
      <c r="U40" s="8">
        <f t="shared" si="37"/>
        <v>0.99221867098729266</v>
      </c>
      <c r="V40" s="7">
        <f>(((V36)+(V37))+(V38))+(V39)</f>
        <v>2200</v>
      </c>
      <c r="W40" s="7">
        <f>(((W36)+(W37))+(W38))+(W39)</f>
        <v>6783.33</v>
      </c>
      <c r="X40" s="7">
        <f t="shared" si="38"/>
        <v>-4583.33</v>
      </c>
      <c r="Y40" s="8">
        <f t="shared" si="39"/>
        <v>0.32432448369753497</v>
      </c>
      <c r="Z40" s="7">
        <f>(((Z36)+(Z37))+(Z38))+(Z39)</f>
        <v>6955</v>
      </c>
      <c r="AA40" s="7">
        <f>(((AA36)+(AA37))+(AA38))+(AA39)</f>
        <v>3283.33</v>
      </c>
      <c r="AB40" s="7">
        <f t="shared" si="40"/>
        <v>3671.67</v>
      </c>
      <c r="AC40" s="8">
        <f t="shared" si="41"/>
        <v>2.1182762622094033</v>
      </c>
      <c r="AD40" s="7">
        <f>(((AD36)+(AD37))+(AD38))+(AD39)</f>
        <v>2200</v>
      </c>
      <c r="AE40" s="7">
        <f>(((AE36)+(AE37))+(AE38))+(AE39)</f>
        <v>2283.33</v>
      </c>
      <c r="AF40" s="7">
        <f t="shared" si="42"/>
        <v>-83.329999999999927</v>
      </c>
      <c r="AG40" s="8">
        <f t="shared" si="43"/>
        <v>0.96350505621176097</v>
      </c>
      <c r="AH40" s="7">
        <f>(((AH36)+(AH37))+(AH38))+(AH39)</f>
        <v>0</v>
      </c>
      <c r="AI40" s="7">
        <f>(((AI36)+(AI37))+(AI38))+(AI39)</f>
        <v>4283.33</v>
      </c>
      <c r="AJ40" s="7">
        <f t="shared" si="44"/>
        <v>-4283.33</v>
      </c>
      <c r="AK40" s="8">
        <f t="shared" si="45"/>
        <v>0</v>
      </c>
      <c r="AL40" s="7">
        <f>(((AL36)+(AL37))+(AL38))+(AL39)</f>
        <v>0</v>
      </c>
      <c r="AM40" s="7">
        <f>(((AM36)+(AM37))+(AM38))+(AM39)</f>
        <v>2283.33</v>
      </c>
      <c r="AN40" s="7">
        <f t="shared" si="46"/>
        <v>-2283.33</v>
      </c>
      <c r="AO40" s="8">
        <f t="shared" si="47"/>
        <v>0</v>
      </c>
      <c r="AP40" s="7">
        <f>(((AP36)+(AP37))+(AP38))+(AP39)</f>
        <v>0</v>
      </c>
      <c r="AQ40" s="7">
        <f>(((AQ36)+(AQ37))+(AQ38))+(AQ39)</f>
        <v>2283.33</v>
      </c>
      <c r="AR40" s="7">
        <f t="shared" si="48"/>
        <v>-2283.33</v>
      </c>
      <c r="AS40" s="8">
        <f t="shared" si="49"/>
        <v>0</v>
      </c>
      <c r="AT40" s="7">
        <f>(((AT36)+(AT37))+(AT38))+(AT39)</f>
        <v>0</v>
      </c>
      <c r="AU40" s="7">
        <f>(((AU36)+(AU37))+(AU38))+(AU39)</f>
        <v>2283.37</v>
      </c>
      <c r="AV40" s="7">
        <f t="shared" si="50"/>
        <v>-2283.37</v>
      </c>
      <c r="AW40" s="8">
        <f t="shared" si="51"/>
        <v>0</v>
      </c>
      <c r="AX40" s="7">
        <f t="shared" si="52"/>
        <v>25905</v>
      </c>
      <c r="AY40" s="20">
        <f t="shared" si="53"/>
        <v>36900.000000000007</v>
      </c>
      <c r="AZ40" s="7">
        <f t="shared" si="54"/>
        <v>-10995.000000000007</v>
      </c>
      <c r="BA40" s="8">
        <f t="shared" si="55"/>
        <v>0.70203252032520314</v>
      </c>
    </row>
    <row r="41" spans="1:53" x14ac:dyDescent="0.25">
      <c r="A41" s="3" t="s">
        <v>51</v>
      </c>
      <c r="B41" s="4"/>
      <c r="C41" s="4"/>
      <c r="D41" s="5">
        <f t="shared" si="28"/>
        <v>0</v>
      </c>
      <c r="E41" s="6" t="str">
        <f t="shared" si="29"/>
        <v/>
      </c>
      <c r="F41" s="4"/>
      <c r="G41" s="4"/>
      <c r="H41" s="5">
        <f t="shared" si="30"/>
        <v>0</v>
      </c>
      <c r="I41" s="6" t="str">
        <f t="shared" si="31"/>
        <v/>
      </c>
      <c r="J41" s="4"/>
      <c r="K41" s="4"/>
      <c r="L41" s="5">
        <f t="shared" si="32"/>
        <v>0</v>
      </c>
      <c r="M41" s="6" t="str">
        <f t="shared" si="33"/>
        <v/>
      </c>
      <c r="N41" s="4"/>
      <c r="O41" s="4"/>
      <c r="P41" s="5">
        <f t="shared" si="34"/>
        <v>0</v>
      </c>
      <c r="Q41" s="6" t="str">
        <f t="shared" si="35"/>
        <v/>
      </c>
      <c r="R41" s="4"/>
      <c r="S41" s="4"/>
      <c r="T41" s="5">
        <f t="shared" si="36"/>
        <v>0</v>
      </c>
      <c r="U41" s="6" t="str">
        <f t="shared" si="37"/>
        <v/>
      </c>
      <c r="V41" s="4"/>
      <c r="W41" s="4"/>
      <c r="X41" s="5">
        <f t="shared" si="38"/>
        <v>0</v>
      </c>
      <c r="Y41" s="6" t="str">
        <f t="shared" si="39"/>
        <v/>
      </c>
      <c r="Z41" s="4"/>
      <c r="AA41" s="4"/>
      <c r="AB41" s="5">
        <f t="shared" si="40"/>
        <v>0</v>
      </c>
      <c r="AC41" s="6" t="str">
        <f t="shared" si="41"/>
        <v/>
      </c>
      <c r="AD41" s="4"/>
      <c r="AE41" s="4"/>
      <c r="AF41" s="5">
        <f t="shared" si="42"/>
        <v>0</v>
      </c>
      <c r="AG41" s="6" t="str">
        <f t="shared" si="43"/>
        <v/>
      </c>
      <c r="AH41" s="4"/>
      <c r="AI41" s="4"/>
      <c r="AJ41" s="5">
        <f t="shared" si="44"/>
        <v>0</v>
      </c>
      <c r="AK41" s="6" t="str">
        <f t="shared" si="45"/>
        <v/>
      </c>
      <c r="AL41" s="4"/>
      <c r="AM41" s="4"/>
      <c r="AN41" s="5">
        <f t="shared" si="46"/>
        <v>0</v>
      </c>
      <c r="AO41" s="6" t="str">
        <f t="shared" si="47"/>
        <v/>
      </c>
      <c r="AP41" s="4"/>
      <c r="AQ41" s="4"/>
      <c r="AR41" s="5">
        <f t="shared" si="48"/>
        <v>0</v>
      </c>
      <c r="AS41" s="6" t="str">
        <f t="shared" si="49"/>
        <v/>
      </c>
      <c r="AT41" s="4"/>
      <c r="AU41" s="4"/>
      <c r="AV41" s="5">
        <f t="shared" si="50"/>
        <v>0</v>
      </c>
      <c r="AW41" s="6" t="str">
        <f t="shared" si="51"/>
        <v/>
      </c>
      <c r="AX41" s="5">
        <f t="shared" si="52"/>
        <v>0</v>
      </c>
      <c r="AY41" s="19">
        <f t="shared" si="53"/>
        <v>0</v>
      </c>
      <c r="AZ41" s="5">
        <f t="shared" si="54"/>
        <v>0</v>
      </c>
      <c r="BA41" s="6" t="str">
        <f t="shared" si="55"/>
        <v/>
      </c>
    </row>
    <row r="42" spans="1:53" x14ac:dyDescent="0.25">
      <c r="A42" s="3" t="s">
        <v>52</v>
      </c>
      <c r="B42" s="4"/>
      <c r="C42" s="4"/>
      <c r="D42" s="5">
        <f t="shared" si="28"/>
        <v>0</v>
      </c>
      <c r="E42" s="6" t="str">
        <f t="shared" si="29"/>
        <v/>
      </c>
      <c r="F42" s="5">
        <f>5815</f>
        <v>5815</v>
      </c>
      <c r="G42" s="4"/>
      <c r="H42" s="5">
        <f t="shared" si="30"/>
        <v>5815</v>
      </c>
      <c r="I42" s="6" t="str">
        <f t="shared" si="31"/>
        <v/>
      </c>
      <c r="J42" s="5">
        <f>-5815</f>
        <v>-5815</v>
      </c>
      <c r="K42" s="4"/>
      <c r="L42" s="5">
        <f t="shared" si="32"/>
        <v>-5815</v>
      </c>
      <c r="M42" s="6" t="str">
        <f t="shared" si="33"/>
        <v/>
      </c>
      <c r="N42" s="4"/>
      <c r="O42" s="4"/>
      <c r="P42" s="5">
        <f t="shared" si="34"/>
        <v>0</v>
      </c>
      <c r="Q42" s="6" t="str">
        <f t="shared" si="35"/>
        <v/>
      </c>
      <c r="R42" s="4"/>
      <c r="S42" s="4"/>
      <c r="T42" s="5">
        <f t="shared" si="36"/>
        <v>0</v>
      </c>
      <c r="U42" s="6" t="str">
        <f t="shared" si="37"/>
        <v/>
      </c>
      <c r="V42" s="5">
        <f>0</f>
        <v>0</v>
      </c>
      <c r="W42" s="4"/>
      <c r="X42" s="5">
        <f t="shared" si="38"/>
        <v>0</v>
      </c>
      <c r="Y42" s="6" t="str">
        <f t="shared" si="39"/>
        <v/>
      </c>
      <c r="Z42" s="4"/>
      <c r="AA42" s="4"/>
      <c r="AB42" s="5">
        <f t="shared" si="40"/>
        <v>0</v>
      </c>
      <c r="AC42" s="6" t="str">
        <f t="shared" si="41"/>
        <v/>
      </c>
      <c r="AD42" s="4"/>
      <c r="AE42" s="4"/>
      <c r="AF42" s="5">
        <f t="shared" si="42"/>
        <v>0</v>
      </c>
      <c r="AG42" s="6" t="str">
        <f t="shared" si="43"/>
        <v/>
      </c>
      <c r="AH42" s="4"/>
      <c r="AI42" s="4"/>
      <c r="AJ42" s="5">
        <f t="shared" si="44"/>
        <v>0</v>
      </c>
      <c r="AK42" s="6" t="str">
        <f t="shared" si="45"/>
        <v/>
      </c>
      <c r="AL42" s="4"/>
      <c r="AM42" s="4"/>
      <c r="AN42" s="5">
        <f t="shared" si="46"/>
        <v>0</v>
      </c>
      <c r="AO42" s="6" t="str">
        <f t="shared" si="47"/>
        <v/>
      </c>
      <c r="AP42" s="4"/>
      <c r="AQ42" s="4"/>
      <c r="AR42" s="5">
        <f t="shared" si="48"/>
        <v>0</v>
      </c>
      <c r="AS42" s="6" t="str">
        <f t="shared" si="49"/>
        <v/>
      </c>
      <c r="AT42" s="4"/>
      <c r="AU42" s="4"/>
      <c r="AV42" s="5">
        <f t="shared" si="50"/>
        <v>0</v>
      </c>
      <c r="AW42" s="6" t="str">
        <f t="shared" si="51"/>
        <v/>
      </c>
      <c r="AX42" s="5">
        <f t="shared" si="52"/>
        <v>0</v>
      </c>
      <c r="AY42" s="19">
        <f t="shared" si="53"/>
        <v>0</v>
      </c>
      <c r="AZ42" s="5">
        <f t="shared" si="54"/>
        <v>0</v>
      </c>
      <c r="BA42" s="6" t="str">
        <f t="shared" si="55"/>
        <v/>
      </c>
    </row>
    <row r="43" spans="1:53" x14ac:dyDescent="0.25">
      <c r="A43" s="3" t="s">
        <v>53</v>
      </c>
      <c r="B43" s="4"/>
      <c r="C43" s="5">
        <f>0</f>
        <v>0</v>
      </c>
      <c r="D43" s="5">
        <f t="shared" si="28"/>
        <v>0</v>
      </c>
      <c r="E43" s="6" t="str">
        <f t="shared" si="29"/>
        <v/>
      </c>
      <c r="F43" s="4"/>
      <c r="G43" s="5">
        <f>1100</f>
        <v>1100</v>
      </c>
      <c r="H43" s="5">
        <f t="shared" si="30"/>
        <v>-1100</v>
      </c>
      <c r="I43" s="6">
        <f t="shared" si="31"/>
        <v>0</v>
      </c>
      <c r="J43" s="5">
        <f>54</f>
        <v>54</v>
      </c>
      <c r="K43" s="5">
        <f>0</f>
        <v>0</v>
      </c>
      <c r="L43" s="5">
        <f t="shared" si="32"/>
        <v>54</v>
      </c>
      <c r="M43" s="6" t="str">
        <f t="shared" si="33"/>
        <v/>
      </c>
      <c r="N43" s="5">
        <f>3855.96</f>
        <v>3855.96</v>
      </c>
      <c r="O43" s="5">
        <f>2000</f>
        <v>2000</v>
      </c>
      <c r="P43" s="5">
        <f t="shared" si="34"/>
        <v>1855.96</v>
      </c>
      <c r="Q43" s="6">
        <f t="shared" si="35"/>
        <v>1.92798</v>
      </c>
      <c r="R43" s="5">
        <f>2994.17</f>
        <v>2994.17</v>
      </c>
      <c r="S43" s="5">
        <f>2000</f>
        <v>2000</v>
      </c>
      <c r="T43" s="5">
        <f t="shared" si="36"/>
        <v>994.17000000000007</v>
      </c>
      <c r="U43" s="6">
        <f t="shared" si="37"/>
        <v>1.497085</v>
      </c>
      <c r="V43" s="5">
        <f>1103.25</f>
        <v>1103.25</v>
      </c>
      <c r="W43" s="5">
        <f>1400</f>
        <v>1400</v>
      </c>
      <c r="X43" s="5">
        <f t="shared" si="38"/>
        <v>-296.75</v>
      </c>
      <c r="Y43" s="6">
        <f t="shared" si="39"/>
        <v>0.78803571428571428</v>
      </c>
      <c r="Z43" s="4"/>
      <c r="AA43" s="5">
        <f>0</f>
        <v>0</v>
      </c>
      <c r="AB43" s="5">
        <f t="shared" si="40"/>
        <v>0</v>
      </c>
      <c r="AC43" s="6" t="str">
        <f t="shared" si="41"/>
        <v/>
      </c>
      <c r="AD43" s="4"/>
      <c r="AE43" s="5">
        <f>0</f>
        <v>0</v>
      </c>
      <c r="AF43" s="5">
        <f t="shared" si="42"/>
        <v>0</v>
      </c>
      <c r="AG43" s="6" t="str">
        <f t="shared" si="43"/>
        <v/>
      </c>
      <c r="AH43" s="4"/>
      <c r="AI43" s="5">
        <f>0</f>
        <v>0</v>
      </c>
      <c r="AJ43" s="5">
        <f t="shared" si="44"/>
        <v>0</v>
      </c>
      <c r="AK43" s="6" t="str">
        <f t="shared" si="45"/>
        <v/>
      </c>
      <c r="AL43" s="4"/>
      <c r="AM43" s="5">
        <f>0</f>
        <v>0</v>
      </c>
      <c r="AN43" s="5">
        <f t="shared" si="46"/>
        <v>0</v>
      </c>
      <c r="AO43" s="6" t="str">
        <f t="shared" si="47"/>
        <v/>
      </c>
      <c r="AP43" s="4"/>
      <c r="AQ43" s="5">
        <f>0</f>
        <v>0</v>
      </c>
      <c r="AR43" s="5">
        <f t="shared" si="48"/>
        <v>0</v>
      </c>
      <c r="AS43" s="6" t="str">
        <f t="shared" si="49"/>
        <v/>
      </c>
      <c r="AT43" s="4"/>
      <c r="AU43" s="5">
        <f>0</f>
        <v>0</v>
      </c>
      <c r="AV43" s="5">
        <f t="shared" si="50"/>
        <v>0</v>
      </c>
      <c r="AW43" s="6" t="str">
        <f t="shared" si="51"/>
        <v/>
      </c>
      <c r="AX43" s="5">
        <f t="shared" si="52"/>
        <v>8007.38</v>
      </c>
      <c r="AY43" s="19">
        <f t="shared" si="53"/>
        <v>6500</v>
      </c>
      <c r="AZ43" s="5">
        <f t="shared" si="54"/>
        <v>1507.38</v>
      </c>
      <c r="BA43" s="6">
        <f t="shared" si="55"/>
        <v>1.2319046153846154</v>
      </c>
    </row>
    <row r="44" spans="1:53" x14ac:dyDescent="0.25">
      <c r="A44" s="3" t="s">
        <v>54</v>
      </c>
      <c r="B44" s="7">
        <f>((B41)+(B42))+(B43)</f>
        <v>0</v>
      </c>
      <c r="C44" s="7">
        <f>((C41)+(C42))+(C43)</f>
        <v>0</v>
      </c>
      <c r="D44" s="7">
        <f t="shared" si="28"/>
        <v>0</v>
      </c>
      <c r="E44" s="8" t="str">
        <f t="shared" si="29"/>
        <v/>
      </c>
      <c r="F44" s="7">
        <f>((F41)+(F42))+(F43)</f>
        <v>5815</v>
      </c>
      <c r="G44" s="7">
        <f>((G41)+(G42))+(G43)</f>
        <v>1100</v>
      </c>
      <c r="H44" s="7">
        <f t="shared" si="30"/>
        <v>4715</v>
      </c>
      <c r="I44" s="8">
        <f t="shared" si="31"/>
        <v>5.2863636363636362</v>
      </c>
      <c r="J44" s="7">
        <f>((J41)+(J42))+(J43)</f>
        <v>-5761</v>
      </c>
      <c r="K44" s="7">
        <f>((K41)+(K42))+(K43)</f>
        <v>0</v>
      </c>
      <c r="L44" s="7">
        <f t="shared" si="32"/>
        <v>-5761</v>
      </c>
      <c r="M44" s="8" t="str">
        <f t="shared" si="33"/>
        <v/>
      </c>
      <c r="N44" s="7">
        <f>((N41)+(N42))+(N43)</f>
        <v>3855.96</v>
      </c>
      <c r="O44" s="7">
        <f>((O41)+(O42))+(O43)</f>
        <v>2000</v>
      </c>
      <c r="P44" s="7">
        <f t="shared" si="34"/>
        <v>1855.96</v>
      </c>
      <c r="Q44" s="8">
        <f t="shared" si="35"/>
        <v>1.92798</v>
      </c>
      <c r="R44" s="7">
        <f>((R41)+(R42))+(R43)</f>
        <v>2994.17</v>
      </c>
      <c r="S44" s="7">
        <f>((S41)+(S42))+(S43)</f>
        <v>2000</v>
      </c>
      <c r="T44" s="7">
        <f t="shared" si="36"/>
        <v>994.17000000000007</v>
      </c>
      <c r="U44" s="8">
        <f t="shared" si="37"/>
        <v>1.497085</v>
      </c>
      <c r="V44" s="7">
        <f>((V41)+(V42))+(V43)</f>
        <v>1103.25</v>
      </c>
      <c r="W44" s="7">
        <f>((W41)+(W42))+(W43)</f>
        <v>1400</v>
      </c>
      <c r="X44" s="7">
        <f t="shared" si="38"/>
        <v>-296.75</v>
      </c>
      <c r="Y44" s="8">
        <f t="shared" si="39"/>
        <v>0.78803571428571428</v>
      </c>
      <c r="Z44" s="7">
        <f>((Z41)+(Z42))+(Z43)</f>
        <v>0</v>
      </c>
      <c r="AA44" s="7">
        <f>((AA41)+(AA42))+(AA43)</f>
        <v>0</v>
      </c>
      <c r="AB44" s="7">
        <f t="shared" si="40"/>
        <v>0</v>
      </c>
      <c r="AC44" s="8" t="str">
        <f t="shared" si="41"/>
        <v/>
      </c>
      <c r="AD44" s="7">
        <f>((AD41)+(AD42))+(AD43)</f>
        <v>0</v>
      </c>
      <c r="AE44" s="7">
        <f>((AE41)+(AE42))+(AE43)</f>
        <v>0</v>
      </c>
      <c r="AF44" s="7">
        <f t="shared" si="42"/>
        <v>0</v>
      </c>
      <c r="AG44" s="8" t="str">
        <f t="shared" si="43"/>
        <v/>
      </c>
      <c r="AH44" s="7">
        <f>((AH41)+(AH42))+(AH43)</f>
        <v>0</v>
      </c>
      <c r="AI44" s="7">
        <f>((AI41)+(AI42))+(AI43)</f>
        <v>0</v>
      </c>
      <c r="AJ44" s="7">
        <f t="shared" si="44"/>
        <v>0</v>
      </c>
      <c r="AK44" s="8" t="str">
        <f t="shared" si="45"/>
        <v/>
      </c>
      <c r="AL44" s="7">
        <f>((AL41)+(AL42))+(AL43)</f>
        <v>0</v>
      </c>
      <c r="AM44" s="7">
        <f>((AM41)+(AM42))+(AM43)</f>
        <v>0</v>
      </c>
      <c r="AN44" s="7">
        <f t="shared" si="46"/>
        <v>0</v>
      </c>
      <c r="AO44" s="8" t="str">
        <f t="shared" si="47"/>
        <v/>
      </c>
      <c r="AP44" s="7">
        <f>((AP41)+(AP42))+(AP43)</f>
        <v>0</v>
      </c>
      <c r="AQ44" s="7">
        <f>((AQ41)+(AQ42))+(AQ43)</f>
        <v>0</v>
      </c>
      <c r="AR44" s="7">
        <f t="shared" si="48"/>
        <v>0</v>
      </c>
      <c r="AS44" s="8" t="str">
        <f t="shared" si="49"/>
        <v/>
      </c>
      <c r="AT44" s="7">
        <f>((AT41)+(AT42))+(AT43)</f>
        <v>0</v>
      </c>
      <c r="AU44" s="7">
        <f>((AU41)+(AU42))+(AU43)</f>
        <v>0</v>
      </c>
      <c r="AV44" s="7">
        <f t="shared" si="50"/>
        <v>0</v>
      </c>
      <c r="AW44" s="8" t="str">
        <f t="shared" si="51"/>
        <v/>
      </c>
      <c r="AX44" s="7">
        <f t="shared" si="52"/>
        <v>8007.38</v>
      </c>
      <c r="AY44" s="20">
        <f t="shared" si="53"/>
        <v>6500</v>
      </c>
      <c r="AZ44" s="7">
        <f t="shared" si="54"/>
        <v>1507.38</v>
      </c>
      <c r="BA44" s="8">
        <f t="shared" si="55"/>
        <v>1.2319046153846154</v>
      </c>
    </row>
    <row r="45" spans="1:53" x14ac:dyDescent="0.25">
      <c r="A45" s="3" t="s">
        <v>55</v>
      </c>
      <c r="B45" s="5">
        <f>374.13</f>
        <v>374.13</v>
      </c>
      <c r="C45" s="4"/>
      <c r="D45" s="5">
        <f t="shared" si="28"/>
        <v>374.13</v>
      </c>
      <c r="E45" s="6" t="str">
        <f t="shared" si="29"/>
        <v/>
      </c>
      <c r="F45" s="5">
        <f>71.39</f>
        <v>71.39</v>
      </c>
      <c r="G45" s="4"/>
      <c r="H45" s="5">
        <f t="shared" si="30"/>
        <v>71.39</v>
      </c>
      <c r="I45" s="6" t="str">
        <f t="shared" si="31"/>
        <v/>
      </c>
      <c r="J45" s="4"/>
      <c r="K45" s="4"/>
      <c r="L45" s="5">
        <f t="shared" si="32"/>
        <v>0</v>
      </c>
      <c r="M45" s="6" t="str">
        <f t="shared" si="33"/>
        <v/>
      </c>
      <c r="N45" s="4"/>
      <c r="O45" s="4"/>
      <c r="P45" s="5">
        <f t="shared" si="34"/>
        <v>0</v>
      </c>
      <c r="Q45" s="6" t="str">
        <f t="shared" si="35"/>
        <v/>
      </c>
      <c r="R45" s="4"/>
      <c r="S45" s="4"/>
      <c r="T45" s="5">
        <f t="shared" si="36"/>
        <v>0</v>
      </c>
      <c r="U45" s="6" t="str">
        <f t="shared" si="37"/>
        <v/>
      </c>
      <c r="V45" s="4"/>
      <c r="W45" s="4"/>
      <c r="X45" s="5">
        <f t="shared" si="38"/>
        <v>0</v>
      </c>
      <c r="Y45" s="6" t="str">
        <f t="shared" si="39"/>
        <v/>
      </c>
      <c r="Z45" s="4"/>
      <c r="AA45" s="4"/>
      <c r="AB45" s="5">
        <f t="shared" si="40"/>
        <v>0</v>
      </c>
      <c r="AC45" s="6" t="str">
        <f t="shared" si="41"/>
        <v/>
      </c>
      <c r="AD45" s="4"/>
      <c r="AE45" s="4"/>
      <c r="AF45" s="5">
        <f t="shared" si="42"/>
        <v>0</v>
      </c>
      <c r="AG45" s="6" t="str">
        <f t="shared" si="43"/>
        <v/>
      </c>
      <c r="AH45" s="4"/>
      <c r="AI45" s="4"/>
      <c r="AJ45" s="5">
        <f t="shared" si="44"/>
        <v>0</v>
      </c>
      <c r="AK45" s="6" t="str">
        <f t="shared" si="45"/>
        <v/>
      </c>
      <c r="AL45" s="4"/>
      <c r="AM45" s="4"/>
      <c r="AN45" s="5">
        <f t="shared" si="46"/>
        <v>0</v>
      </c>
      <c r="AO45" s="6" t="str">
        <f t="shared" si="47"/>
        <v/>
      </c>
      <c r="AP45" s="4"/>
      <c r="AQ45" s="4"/>
      <c r="AR45" s="5">
        <f t="shared" si="48"/>
        <v>0</v>
      </c>
      <c r="AS45" s="6" t="str">
        <f t="shared" si="49"/>
        <v/>
      </c>
      <c r="AT45" s="4"/>
      <c r="AU45" s="4"/>
      <c r="AV45" s="5">
        <f t="shared" si="50"/>
        <v>0</v>
      </c>
      <c r="AW45" s="6" t="str">
        <f t="shared" si="51"/>
        <v/>
      </c>
      <c r="AX45" s="5">
        <f t="shared" si="52"/>
        <v>445.52</v>
      </c>
      <c r="AY45" s="19">
        <f t="shared" si="53"/>
        <v>0</v>
      </c>
      <c r="AZ45" s="5">
        <f t="shared" si="54"/>
        <v>445.52</v>
      </c>
      <c r="BA45" s="6" t="str">
        <f t="shared" si="55"/>
        <v/>
      </c>
    </row>
    <row r="46" spans="1:53" x14ac:dyDescent="0.25">
      <c r="A46" s="3" t="s">
        <v>56</v>
      </c>
      <c r="B46" s="5">
        <f>20</f>
        <v>20</v>
      </c>
      <c r="C46" s="5">
        <f>0</f>
        <v>0</v>
      </c>
      <c r="D46" s="5">
        <f t="shared" si="28"/>
        <v>20</v>
      </c>
      <c r="E46" s="6" t="str">
        <f t="shared" si="29"/>
        <v/>
      </c>
      <c r="F46" s="5">
        <f>20</f>
        <v>20</v>
      </c>
      <c r="G46" s="5">
        <f>0</f>
        <v>0</v>
      </c>
      <c r="H46" s="5">
        <f t="shared" si="30"/>
        <v>20</v>
      </c>
      <c r="I46" s="6" t="str">
        <f t="shared" si="31"/>
        <v/>
      </c>
      <c r="J46" s="5">
        <f>20</f>
        <v>20</v>
      </c>
      <c r="K46" s="5">
        <f>0</f>
        <v>0</v>
      </c>
      <c r="L46" s="5">
        <f t="shared" si="32"/>
        <v>20</v>
      </c>
      <c r="M46" s="6" t="str">
        <f t="shared" si="33"/>
        <v/>
      </c>
      <c r="N46" s="5">
        <f>20</f>
        <v>20</v>
      </c>
      <c r="O46" s="5">
        <f>0</f>
        <v>0</v>
      </c>
      <c r="P46" s="5">
        <f t="shared" si="34"/>
        <v>20</v>
      </c>
      <c r="Q46" s="6" t="str">
        <f t="shared" si="35"/>
        <v/>
      </c>
      <c r="R46" s="5">
        <f>30</f>
        <v>30</v>
      </c>
      <c r="S46" s="5">
        <f>0</f>
        <v>0</v>
      </c>
      <c r="T46" s="5">
        <f t="shared" si="36"/>
        <v>30</v>
      </c>
      <c r="U46" s="6" t="str">
        <f t="shared" si="37"/>
        <v/>
      </c>
      <c r="V46" s="5">
        <f>270</f>
        <v>270</v>
      </c>
      <c r="W46" s="5">
        <f>200</f>
        <v>200</v>
      </c>
      <c r="X46" s="5">
        <f t="shared" si="38"/>
        <v>70</v>
      </c>
      <c r="Y46" s="6">
        <f t="shared" si="39"/>
        <v>1.35</v>
      </c>
      <c r="Z46" s="5">
        <f>20</f>
        <v>20</v>
      </c>
      <c r="AA46" s="5">
        <f>0</f>
        <v>0</v>
      </c>
      <c r="AB46" s="5">
        <f t="shared" si="40"/>
        <v>20</v>
      </c>
      <c r="AC46" s="6" t="str">
        <f t="shared" si="41"/>
        <v/>
      </c>
      <c r="AD46" s="4"/>
      <c r="AE46" s="5">
        <f>1000</f>
        <v>1000</v>
      </c>
      <c r="AF46" s="5">
        <f t="shared" si="42"/>
        <v>-1000</v>
      </c>
      <c r="AG46" s="6">
        <f t="shared" si="43"/>
        <v>0</v>
      </c>
      <c r="AH46" s="4"/>
      <c r="AI46" s="5">
        <f>200</f>
        <v>200</v>
      </c>
      <c r="AJ46" s="5">
        <f t="shared" si="44"/>
        <v>-200</v>
      </c>
      <c r="AK46" s="6">
        <f t="shared" si="45"/>
        <v>0</v>
      </c>
      <c r="AL46" s="4"/>
      <c r="AM46" s="5">
        <f>0</f>
        <v>0</v>
      </c>
      <c r="AN46" s="5">
        <f t="shared" si="46"/>
        <v>0</v>
      </c>
      <c r="AO46" s="6" t="str">
        <f t="shared" si="47"/>
        <v/>
      </c>
      <c r="AP46" s="4"/>
      <c r="AQ46" s="5">
        <f>50</f>
        <v>50</v>
      </c>
      <c r="AR46" s="5">
        <f t="shared" si="48"/>
        <v>-50</v>
      </c>
      <c r="AS46" s="6">
        <f t="shared" si="49"/>
        <v>0</v>
      </c>
      <c r="AT46" s="4"/>
      <c r="AU46" s="5">
        <f>0</f>
        <v>0</v>
      </c>
      <c r="AV46" s="5">
        <f t="shared" si="50"/>
        <v>0</v>
      </c>
      <c r="AW46" s="6" t="str">
        <f t="shared" si="51"/>
        <v/>
      </c>
      <c r="AX46" s="5">
        <f t="shared" si="52"/>
        <v>400</v>
      </c>
      <c r="AY46" s="19">
        <f t="shared" si="53"/>
        <v>1450</v>
      </c>
      <c r="AZ46" s="5">
        <f t="shared" si="54"/>
        <v>-1050</v>
      </c>
      <c r="BA46" s="6">
        <f t="shared" si="55"/>
        <v>0.27586206896551724</v>
      </c>
    </row>
    <row r="47" spans="1:53" x14ac:dyDescent="0.25">
      <c r="A47" s="3" t="s">
        <v>57</v>
      </c>
      <c r="B47" s="4"/>
      <c r="C47" s="5">
        <f>41.67</f>
        <v>41.67</v>
      </c>
      <c r="D47" s="5">
        <f t="shared" si="28"/>
        <v>-41.67</v>
      </c>
      <c r="E47" s="6">
        <f t="shared" si="29"/>
        <v>0</v>
      </c>
      <c r="F47" s="4"/>
      <c r="G47" s="5">
        <f>41.67</f>
        <v>41.67</v>
      </c>
      <c r="H47" s="5">
        <f t="shared" si="30"/>
        <v>-41.67</v>
      </c>
      <c r="I47" s="6">
        <f t="shared" si="31"/>
        <v>0</v>
      </c>
      <c r="J47" s="5">
        <f>240</f>
        <v>240</v>
      </c>
      <c r="K47" s="5">
        <f>41.67</f>
        <v>41.67</v>
      </c>
      <c r="L47" s="5">
        <f t="shared" si="32"/>
        <v>198.32999999999998</v>
      </c>
      <c r="M47" s="6">
        <f t="shared" si="33"/>
        <v>5.759539236861051</v>
      </c>
      <c r="N47" s="4"/>
      <c r="O47" s="5">
        <f>41.67</f>
        <v>41.67</v>
      </c>
      <c r="P47" s="5">
        <f t="shared" si="34"/>
        <v>-41.67</v>
      </c>
      <c r="Q47" s="6">
        <f t="shared" si="35"/>
        <v>0</v>
      </c>
      <c r="R47" s="5">
        <f>15.11</f>
        <v>15.11</v>
      </c>
      <c r="S47" s="5">
        <f>41.67</f>
        <v>41.67</v>
      </c>
      <c r="T47" s="5">
        <f t="shared" si="36"/>
        <v>-26.560000000000002</v>
      </c>
      <c r="U47" s="6">
        <f t="shared" si="37"/>
        <v>0.36261099112071032</v>
      </c>
      <c r="V47" s="4"/>
      <c r="W47" s="5">
        <f>41.67</f>
        <v>41.67</v>
      </c>
      <c r="X47" s="5">
        <f t="shared" si="38"/>
        <v>-41.67</v>
      </c>
      <c r="Y47" s="6">
        <f t="shared" si="39"/>
        <v>0</v>
      </c>
      <c r="Z47" s="4"/>
      <c r="AA47" s="5">
        <f>41.67</f>
        <v>41.67</v>
      </c>
      <c r="AB47" s="5">
        <f t="shared" si="40"/>
        <v>-41.67</v>
      </c>
      <c r="AC47" s="6">
        <f t="shared" si="41"/>
        <v>0</v>
      </c>
      <c r="AD47" s="4"/>
      <c r="AE47" s="5">
        <f>41.67</f>
        <v>41.67</v>
      </c>
      <c r="AF47" s="5">
        <f t="shared" si="42"/>
        <v>-41.67</v>
      </c>
      <c r="AG47" s="6">
        <f t="shared" si="43"/>
        <v>0</v>
      </c>
      <c r="AH47" s="4"/>
      <c r="AI47" s="5">
        <f>41.67</f>
        <v>41.67</v>
      </c>
      <c r="AJ47" s="5">
        <f t="shared" si="44"/>
        <v>-41.67</v>
      </c>
      <c r="AK47" s="6">
        <f t="shared" si="45"/>
        <v>0</v>
      </c>
      <c r="AL47" s="4"/>
      <c r="AM47" s="5">
        <f>41.67</f>
        <v>41.67</v>
      </c>
      <c r="AN47" s="5">
        <f t="shared" si="46"/>
        <v>-41.67</v>
      </c>
      <c r="AO47" s="6">
        <f t="shared" si="47"/>
        <v>0</v>
      </c>
      <c r="AP47" s="4"/>
      <c r="AQ47" s="5">
        <f>41.67</f>
        <v>41.67</v>
      </c>
      <c r="AR47" s="5">
        <f t="shared" si="48"/>
        <v>-41.67</v>
      </c>
      <c r="AS47" s="6">
        <f t="shared" si="49"/>
        <v>0</v>
      </c>
      <c r="AT47" s="4"/>
      <c r="AU47" s="5">
        <f>41.63</f>
        <v>41.63</v>
      </c>
      <c r="AV47" s="5">
        <f t="shared" si="50"/>
        <v>-41.63</v>
      </c>
      <c r="AW47" s="6">
        <f t="shared" si="51"/>
        <v>0</v>
      </c>
      <c r="AX47" s="5">
        <f t="shared" si="52"/>
        <v>255.11</v>
      </c>
      <c r="AY47" s="19">
        <f t="shared" si="53"/>
        <v>500.00000000000011</v>
      </c>
      <c r="AZ47" s="5">
        <f t="shared" si="54"/>
        <v>-244.8900000000001</v>
      </c>
      <c r="BA47" s="6">
        <f t="shared" si="55"/>
        <v>0.5102199999999999</v>
      </c>
    </row>
    <row r="48" spans="1:53" x14ac:dyDescent="0.25">
      <c r="A48" s="3" t="s">
        <v>58</v>
      </c>
      <c r="B48" s="5">
        <f>333.59</f>
        <v>333.59</v>
      </c>
      <c r="C48" s="5">
        <f>8.33</f>
        <v>8.33</v>
      </c>
      <c r="D48" s="5">
        <f t="shared" si="28"/>
        <v>325.26</v>
      </c>
      <c r="E48" s="6">
        <f t="shared" si="29"/>
        <v>40.046818727490994</v>
      </c>
      <c r="F48" s="5">
        <f>433.92</f>
        <v>433.92</v>
      </c>
      <c r="G48" s="5">
        <f>8.33</f>
        <v>8.33</v>
      </c>
      <c r="H48" s="5">
        <f t="shared" si="30"/>
        <v>425.59000000000003</v>
      </c>
      <c r="I48" s="6">
        <f t="shared" si="31"/>
        <v>52.091236494597844</v>
      </c>
      <c r="J48" s="5">
        <f>200</f>
        <v>200</v>
      </c>
      <c r="K48" s="5">
        <f>8.33</f>
        <v>8.33</v>
      </c>
      <c r="L48" s="5">
        <f t="shared" si="32"/>
        <v>191.67</v>
      </c>
      <c r="M48" s="6">
        <f t="shared" si="33"/>
        <v>24.009603841536613</v>
      </c>
      <c r="N48" s="4"/>
      <c r="O48" s="5">
        <f>8.33</f>
        <v>8.33</v>
      </c>
      <c r="P48" s="5">
        <f t="shared" si="34"/>
        <v>-8.33</v>
      </c>
      <c r="Q48" s="6">
        <f t="shared" si="35"/>
        <v>0</v>
      </c>
      <c r="R48" s="4"/>
      <c r="S48" s="5">
        <f>8.33</f>
        <v>8.33</v>
      </c>
      <c r="T48" s="5">
        <f t="shared" si="36"/>
        <v>-8.33</v>
      </c>
      <c r="U48" s="6">
        <f t="shared" si="37"/>
        <v>0</v>
      </c>
      <c r="V48" s="4"/>
      <c r="W48" s="5">
        <f>8.33</f>
        <v>8.33</v>
      </c>
      <c r="X48" s="5">
        <f t="shared" si="38"/>
        <v>-8.33</v>
      </c>
      <c r="Y48" s="6">
        <f t="shared" si="39"/>
        <v>0</v>
      </c>
      <c r="Z48" s="4"/>
      <c r="AA48" s="5">
        <f>8.33</f>
        <v>8.33</v>
      </c>
      <c r="AB48" s="5">
        <f t="shared" si="40"/>
        <v>-8.33</v>
      </c>
      <c r="AC48" s="6">
        <f t="shared" si="41"/>
        <v>0</v>
      </c>
      <c r="AD48" s="4"/>
      <c r="AE48" s="5">
        <f>8.33</f>
        <v>8.33</v>
      </c>
      <c r="AF48" s="5">
        <f t="shared" si="42"/>
        <v>-8.33</v>
      </c>
      <c r="AG48" s="6">
        <f t="shared" si="43"/>
        <v>0</v>
      </c>
      <c r="AH48" s="4"/>
      <c r="AI48" s="5">
        <f>8.33</f>
        <v>8.33</v>
      </c>
      <c r="AJ48" s="5">
        <f t="shared" si="44"/>
        <v>-8.33</v>
      </c>
      <c r="AK48" s="6">
        <f t="shared" si="45"/>
        <v>0</v>
      </c>
      <c r="AL48" s="4"/>
      <c r="AM48" s="5">
        <f>8.33</f>
        <v>8.33</v>
      </c>
      <c r="AN48" s="5">
        <f t="shared" si="46"/>
        <v>-8.33</v>
      </c>
      <c r="AO48" s="6">
        <f t="shared" si="47"/>
        <v>0</v>
      </c>
      <c r="AP48" s="4"/>
      <c r="AQ48" s="5">
        <f>8.33</f>
        <v>8.33</v>
      </c>
      <c r="AR48" s="5">
        <f t="shared" si="48"/>
        <v>-8.33</v>
      </c>
      <c r="AS48" s="6">
        <f t="shared" si="49"/>
        <v>0</v>
      </c>
      <c r="AT48" s="4"/>
      <c r="AU48" s="5">
        <f>8.37</f>
        <v>8.3699999999999992</v>
      </c>
      <c r="AV48" s="5">
        <f t="shared" si="50"/>
        <v>-8.3699999999999992</v>
      </c>
      <c r="AW48" s="6">
        <f t="shared" si="51"/>
        <v>0</v>
      </c>
      <c r="AX48" s="5">
        <f t="shared" si="52"/>
        <v>967.51</v>
      </c>
      <c r="AY48" s="19">
        <f t="shared" si="53"/>
        <v>100</v>
      </c>
      <c r="AZ48" s="5">
        <f t="shared" si="54"/>
        <v>867.51</v>
      </c>
      <c r="BA48" s="6">
        <f t="shared" si="55"/>
        <v>9.6751000000000005</v>
      </c>
    </row>
    <row r="49" spans="1:53" x14ac:dyDescent="0.25">
      <c r="A49" s="3" t="s">
        <v>59</v>
      </c>
      <c r="B49" s="4"/>
      <c r="C49" s="5">
        <f>166.67</f>
        <v>166.67</v>
      </c>
      <c r="D49" s="5">
        <f t="shared" si="28"/>
        <v>-166.67</v>
      </c>
      <c r="E49" s="6">
        <f t="shared" si="29"/>
        <v>0</v>
      </c>
      <c r="F49" s="5">
        <f>423.37</f>
        <v>423.37</v>
      </c>
      <c r="G49" s="5">
        <f>166.67</f>
        <v>166.67</v>
      </c>
      <c r="H49" s="5">
        <f t="shared" si="30"/>
        <v>256.70000000000005</v>
      </c>
      <c r="I49" s="6">
        <f t="shared" si="31"/>
        <v>2.540169196616068</v>
      </c>
      <c r="J49" s="4"/>
      <c r="K49" s="5">
        <f>166.67</f>
        <v>166.67</v>
      </c>
      <c r="L49" s="5">
        <f t="shared" si="32"/>
        <v>-166.67</v>
      </c>
      <c r="M49" s="6">
        <f t="shared" si="33"/>
        <v>0</v>
      </c>
      <c r="N49" s="5">
        <f>809.8</f>
        <v>809.8</v>
      </c>
      <c r="O49" s="5">
        <f>166.67</f>
        <v>166.67</v>
      </c>
      <c r="P49" s="5">
        <f t="shared" si="34"/>
        <v>643.13</v>
      </c>
      <c r="Q49" s="6">
        <f t="shared" si="35"/>
        <v>4.8587028259434808</v>
      </c>
      <c r="R49" s="5">
        <f>6.59</f>
        <v>6.59</v>
      </c>
      <c r="S49" s="5">
        <f>166.67</f>
        <v>166.67</v>
      </c>
      <c r="T49" s="5">
        <f t="shared" si="36"/>
        <v>-160.07999999999998</v>
      </c>
      <c r="U49" s="6">
        <f t="shared" si="37"/>
        <v>3.9539209215815684E-2</v>
      </c>
      <c r="V49" s="4"/>
      <c r="W49" s="5">
        <f>166.67</f>
        <v>166.67</v>
      </c>
      <c r="X49" s="5">
        <f t="shared" si="38"/>
        <v>-166.67</v>
      </c>
      <c r="Y49" s="6">
        <f t="shared" si="39"/>
        <v>0</v>
      </c>
      <c r="Z49" s="5">
        <f>25.58</f>
        <v>25.58</v>
      </c>
      <c r="AA49" s="5">
        <f>166.67</f>
        <v>166.67</v>
      </c>
      <c r="AB49" s="5">
        <f t="shared" si="40"/>
        <v>-141.08999999999997</v>
      </c>
      <c r="AC49" s="6">
        <f t="shared" si="41"/>
        <v>0.15347693046139077</v>
      </c>
      <c r="AD49" s="4"/>
      <c r="AE49" s="5">
        <f>166.67</f>
        <v>166.67</v>
      </c>
      <c r="AF49" s="5">
        <f t="shared" si="42"/>
        <v>-166.67</v>
      </c>
      <c r="AG49" s="6">
        <f t="shared" si="43"/>
        <v>0</v>
      </c>
      <c r="AH49" s="4"/>
      <c r="AI49" s="5">
        <f>166.67</f>
        <v>166.67</v>
      </c>
      <c r="AJ49" s="5">
        <f t="shared" si="44"/>
        <v>-166.67</v>
      </c>
      <c r="AK49" s="6">
        <f t="shared" si="45"/>
        <v>0</v>
      </c>
      <c r="AL49" s="4"/>
      <c r="AM49" s="5">
        <f>166.67</f>
        <v>166.67</v>
      </c>
      <c r="AN49" s="5">
        <f t="shared" si="46"/>
        <v>-166.67</v>
      </c>
      <c r="AO49" s="6">
        <f t="shared" si="47"/>
        <v>0</v>
      </c>
      <c r="AP49" s="4"/>
      <c r="AQ49" s="5">
        <f>166.67</f>
        <v>166.67</v>
      </c>
      <c r="AR49" s="5">
        <f t="shared" si="48"/>
        <v>-166.67</v>
      </c>
      <c r="AS49" s="6">
        <f t="shared" si="49"/>
        <v>0</v>
      </c>
      <c r="AT49" s="4"/>
      <c r="AU49" s="5">
        <f>166.63</f>
        <v>166.63</v>
      </c>
      <c r="AV49" s="5">
        <f t="shared" si="50"/>
        <v>-166.63</v>
      </c>
      <c r="AW49" s="6">
        <f t="shared" si="51"/>
        <v>0</v>
      </c>
      <c r="AX49" s="5">
        <f t="shared" si="52"/>
        <v>1265.3399999999999</v>
      </c>
      <c r="AY49" s="19">
        <f t="shared" si="53"/>
        <v>2000</v>
      </c>
      <c r="AZ49" s="5">
        <f t="shared" si="54"/>
        <v>-734.66000000000008</v>
      </c>
      <c r="BA49" s="6">
        <f t="shared" si="55"/>
        <v>0.63266999999999995</v>
      </c>
    </row>
    <row r="50" spans="1:53" x14ac:dyDescent="0.25">
      <c r="A50" s="3" t="s">
        <v>60</v>
      </c>
      <c r="B50" s="4"/>
      <c r="C50" s="5">
        <f>0</f>
        <v>0</v>
      </c>
      <c r="D50" s="5">
        <f t="shared" si="28"/>
        <v>0</v>
      </c>
      <c r="E50" s="6" t="str">
        <f t="shared" si="29"/>
        <v/>
      </c>
      <c r="F50" s="4"/>
      <c r="G50" s="5">
        <f>0</f>
        <v>0</v>
      </c>
      <c r="H50" s="5">
        <f t="shared" si="30"/>
        <v>0</v>
      </c>
      <c r="I50" s="6" t="str">
        <f t="shared" si="31"/>
        <v/>
      </c>
      <c r="J50" s="5">
        <f>50</f>
        <v>50</v>
      </c>
      <c r="K50" s="5">
        <f>0</f>
        <v>0</v>
      </c>
      <c r="L50" s="5">
        <f t="shared" si="32"/>
        <v>50</v>
      </c>
      <c r="M50" s="6" t="str">
        <f t="shared" si="33"/>
        <v/>
      </c>
      <c r="N50" s="5">
        <f>90</f>
        <v>90</v>
      </c>
      <c r="O50" s="5">
        <f>150</f>
        <v>150</v>
      </c>
      <c r="P50" s="5">
        <f t="shared" si="34"/>
        <v>-60</v>
      </c>
      <c r="Q50" s="6">
        <f t="shared" si="35"/>
        <v>0.6</v>
      </c>
      <c r="R50" s="4"/>
      <c r="S50" s="5">
        <f>0</f>
        <v>0</v>
      </c>
      <c r="T50" s="5">
        <f t="shared" si="36"/>
        <v>0</v>
      </c>
      <c r="U50" s="6" t="str">
        <f t="shared" si="37"/>
        <v/>
      </c>
      <c r="V50" s="4"/>
      <c r="W50" s="5">
        <f>0</f>
        <v>0</v>
      </c>
      <c r="X50" s="5">
        <f t="shared" si="38"/>
        <v>0</v>
      </c>
      <c r="Y50" s="6" t="str">
        <f t="shared" si="39"/>
        <v/>
      </c>
      <c r="Z50" s="4"/>
      <c r="AA50" s="5">
        <f>0</f>
        <v>0</v>
      </c>
      <c r="AB50" s="5">
        <f t="shared" si="40"/>
        <v>0</v>
      </c>
      <c r="AC50" s="6" t="str">
        <f t="shared" si="41"/>
        <v/>
      </c>
      <c r="AD50" s="4"/>
      <c r="AE50" s="5">
        <f>0</f>
        <v>0</v>
      </c>
      <c r="AF50" s="5">
        <f t="shared" si="42"/>
        <v>0</v>
      </c>
      <c r="AG50" s="6" t="str">
        <f t="shared" si="43"/>
        <v/>
      </c>
      <c r="AH50" s="4"/>
      <c r="AI50" s="5">
        <f>0</f>
        <v>0</v>
      </c>
      <c r="AJ50" s="5">
        <f t="shared" si="44"/>
        <v>0</v>
      </c>
      <c r="AK50" s="6" t="str">
        <f t="shared" si="45"/>
        <v/>
      </c>
      <c r="AL50" s="4"/>
      <c r="AM50" s="5">
        <f>0</f>
        <v>0</v>
      </c>
      <c r="AN50" s="5">
        <f t="shared" si="46"/>
        <v>0</v>
      </c>
      <c r="AO50" s="6" t="str">
        <f t="shared" si="47"/>
        <v/>
      </c>
      <c r="AP50" s="4"/>
      <c r="AQ50" s="5">
        <f>0</f>
        <v>0</v>
      </c>
      <c r="AR50" s="5">
        <f t="shared" si="48"/>
        <v>0</v>
      </c>
      <c r="AS50" s="6" t="str">
        <f t="shared" si="49"/>
        <v/>
      </c>
      <c r="AT50" s="4"/>
      <c r="AU50" s="5">
        <f>0</f>
        <v>0</v>
      </c>
      <c r="AV50" s="5">
        <f t="shared" si="50"/>
        <v>0</v>
      </c>
      <c r="AW50" s="6" t="str">
        <f t="shared" si="51"/>
        <v/>
      </c>
      <c r="AX50" s="5">
        <f t="shared" si="52"/>
        <v>140</v>
      </c>
      <c r="AY50" s="19">
        <f t="shared" si="53"/>
        <v>150</v>
      </c>
      <c r="AZ50" s="5">
        <f t="shared" si="54"/>
        <v>-10</v>
      </c>
      <c r="BA50" s="6">
        <f t="shared" si="55"/>
        <v>0.93333333333333335</v>
      </c>
    </row>
    <row r="51" spans="1:53" x14ac:dyDescent="0.25">
      <c r="A51" s="3" t="s">
        <v>61</v>
      </c>
      <c r="B51" s="5">
        <f>129.41</f>
        <v>129.41</v>
      </c>
      <c r="C51" s="5">
        <f>45</f>
        <v>45</v>
      </c>
      <c r="D51" s="5">
        <f t="shared" si="28"/>
        <v>84.41</v>
      </c>
      <c r="E51" s="6">
        <f t="shared" si="29"/>
        <v>2.8757777777777775</v>
      </c>
      <c r="F51" s="5">
        <f>189.4</f>
        <v>189.4</v>
      </c>
      <c r="G51" s="5">
        <f>45</f>
        <v>45</v>
      </c>
      <c r="H51" s="5">
        <f t="shared" si="30"/>
        <v>144.4</v>
      </c>
      <c r="I51" s="6">
        <f t="shared" si="31"/>
        <v>4.2088888888888887</v>
      </c>
      <c r="J51" s="5">
        <f>233.89</f>
        <v>233.89</v>
      </c>
      <c r="K51" s="5">
        <f>45</f>
        <v>45</v>
      </c>
      <c r="L51" s="5">
        <f t="shared" si="32"/>
        <v>188.89</v>
      </c>
      <c r="M51" s="6">
        <f t="shared" si="33"/>
        <v>5.1975555555555548</v>
      </c>
      <c r="N51" s="5">
        <f>74.42</f>
        <v>74.42</v>
      </c>
      <c r="O51" s="5">
        <f>45</f>
        <v>45</v>
      </c>
      <c r="P51" s="5">
        <f t="shared" si="34"/>
        <v>29.42</v>
      </c>
      <c r="Q51" s="6">
        <f t="shared" si="35"/>
        <v>1.6537777777777778</v>
      </c>
      <c r="R51" s="5">
        <f>342.4</f>
        <v>342.4</v>
      </c>
      <c r="S51" s="5">
        <f>45</f>
        <v>45</v>
      </c>
      <c r="T51" s="5">
        <f t="shared" si="36"/>
        <v>297.39999999999998</v>
      </c>
      <c r="U51" s="6">
        <f t="shared" si="37"/>
        <v>7.6088888888888881</v>
      </c>
      <c r="V51" s="5">
        <f>208.41</f>
        <v>208.41</v>
      </c>
      <c r="W51" s="5">
        <f>45</f>
        <v>45</v>
      </c>
      <c r="X51" s="5">
        <f t="shared" si="38"/>
        <v>163.41</v>
      </c>
      <c r="Y51" s="6">
        <f t="shared" si="39"/>
        <v>4.6313333333333331</v>
      </c>
      <c r="Z51" s="5">
        <f>208.41</f>
        <v>208.41</v>
      </c>
      <c r="AA51" s="5">
        <f>45</f>
        <v>45</v>
      </c>
      <c r="AB51" s="5">
        <f t="shared" si="40"/>
        <v>163.41</v>
      </c>
      <c r="AC51" s="6">
        <f t="shared" si="41"/>
        <v>4.6313333333333331</v>
      </c>
      <c r="AD51" s="5">
        <f>129.41</f>
        <v>129.41</v>
      </c>
      <c r="AE51" s="5">
        <f>45</f>
        <v>45</v>
      </c>
      <c r="AF51" s="5">
        <f t="shared" si="42"/>
        <v>84.41</v>
      </c>
      <c r="AG51" s="6">
        <f t="shared" si="43"/>
        <v>2.8757777777777775</v>
      </c>
      <c r="AH51" s="5">
        <f>74.42</f>
        <v>74.42</v>
      </c>
      <c r="AI51" s="5">
        <f>45</f>
        <v>45</v>
      </c>
      <c r="AJ51" s="5">
        <f t="shared" si="44"/>
        <v>29.42</v>
      </c>
      <c r="AK51" s="6">
        <f t="shared" si="45"/>
        <v>1.6537777777777778</v>
      </c>
      <c r="AL51" s="4"/>
      <c r="AM51" s="5">
        <f>45</f>
        <v>45</v>
      </c>
      <c r="AN51" s="5">
        <f t="shared" si="46"/>
        <v>-45</v>
      </c>
      <c r="AO51" s="6">
        <f t="shared" si="47"/>
        <v>0</v>
      </c>
      <c r="AP51" s="4"/>
      <c r="AQ51" s="5">
        <f>45</f>
        <v>45</v>
      </c>
      <c r="AR51" s="5">
        <f t="shared" si="48"/>
        <v>-45</v>
      </c>
      <c r="AS51" s="6">
        <f t="shared" si="49"/>
        <v>0</v>
      </c>
      <c r="AT51" s="4"/>
      <c r="AU51" s="5">
        <f>45</f>
        <v>45</v>
      </c>
      <c r="AV51" s="5">
        <f t="shared" si="50"/>
        <v>-45</v>
      </c>
      <c r="AW51" s="6">
        <f t="shared" si="51"/>
        <v>0</v>
      </c>
      <c r="AX51" s="5">
        <f t="shared" si="52"/>
        <v>1590.1700000000003</v>
      </c>
      <c r="AY51" s="19">
        <f t="shared" si="53"/>
        <v>540</v>
      </c>
      <c r="AZ51" s="5">
        <f t="shared" si="54"/>
        <v>1050.1700000000003</v>
      </c>
      <c r="BA51" s="6">
        <f t="shared" si="55"/>
        <v>2.9447592592592597</v>
      </c>
    </row>
    <row r="52" spans="1:53" x14ac:dyDescent="0.25">
      <c r="A52" s="3" t="s">
        <v>62</v>
      </c>
      <c r="B52" s="7">
        <f>((((((B45)+(B46))+(B47))+(B48))+(B49))+(B50))+(B51)</f>
        <v>857.13</v>
      </c>
      <c r="C52" s="7">
        <f>((((((C45)+(C46))+(C47))+(C48))+(C49))+(C50))+(C51)</f>
        <v>261.66999999999996</v>
      </c>
      <c r="D52" s="7">
        <f t="shared" si="28"/>
        <v>595.46</v>
      </c>
      <c r="E52" s="8">
        <f t="shared" si="29"/>
        <v>3.2756143233844162</v>
      </c>
      <c r="F52" s="7">
        <f>((((((F45)+(F46))+(F47))+(F48))+(F49))+(F50))+(F51)</f>
        <v>1138.0800000000002</v>
      </c>
      <c r="G52" s="7">
        <f>((((((G45)+(G46))+(G47))+(G48))+(G49))+(G50))+(G51)</f>
        <v>261.66999999999996</v>
      </c>
      <c r="H52" s="7">
        <f t="shared" si="30"/>
        <v>876.4100000000002</v>
      </c>
      <c r="I52" s="8">
        <f t="shared" si="31"/>
        <v>4.3492949134405947</v>
      </c>
      <c r="J52" s="7">
        <f>((((((J45)+(J46))+(J47))+(J48))+(J49))+(J50))+(J51)</f>
        <v>743.89</v>
      </c>
      <c r="K52" s="7">
        <f>((((((K45)+(K46))+(K47))+(K48))+(K49))+(K50))+(K51)</f>
        <v>261.66999999999996</v>
      </c>
      <c r="L52" s="7">
        <f t="shared" si="32"/>
        <v>482.22</v>
      </c>
      <c r="M52" s="8">
        <f t="shared" si="33"/>
        <v>2.8428555050254141</v>
      </c>
      <c r="N52" s="7">
        <f>((((((N45)+(N46))+(N47))+(N48))+(N49))+(N50))+(N51)</f>
        <v>994.21999999999991</v>
      </c>
      <c r="O52" s="7">
        <f>((((((O45)+(O46))+(O47))+(O48))+(O49))+(O50))+(O51)</f>
        <v>411.66999999999996</v>
      </c>
      <c r="P52" s="7">
        <f t="shared" si="34"/>
        <v>582.54999999999995</v>
      </c>
      <c r="Q52" s="8">
        <f t="shared" si="35"/>
        <v>2.4150897563582481</v>
      </c>
      <c r="R52" s="7">
        <f>((((((R45)+(R46))+(R47))+(R48))+(R49))+(R50))+(R51)</f>
        <v>394.09999999999997</v>
      </c>
      <c r="S52" s="7">
        <f>((((((S45)+(S46))+(S47))+(S48))+(S49))+(S50))+(S51)</f>
        <v>261.66999999999996</v>
      </c>
      <c r="T52" s="7">
        <f t="shared" si="36"/>
        <v>132.43</v>
      </c>
      <c r="U52" s="8">
        <f t="shared" si="37"/>
        <v>1.5060954637520543</v>
      </c>
      <c r="V52" s="7">
        <f>((((((V45)+(V46))+(V47))+(V48))+(V49))+(V50))+(V51)</f>
        <v>478.40999999999997</v>
      </c>
      <c r="W52" s="7">
        <f>((((((W45)+(W46))+(W47))+(W48))+(W49))+(W50))+(W51)</f>
        <v>461.67</v>
      </c>
      <c r="X52" s="7">
        <f t="shared" si="38"/>
        <v>16.739999999999952</v>
      </c>
      <c r="Y52" s="8">
        <f t="shared" si="39"/>
        <v>1.0362596659951913</v>
      </c>
      <c r="Z52" s="7">
        <f>((((((Z45)+(Z46))+(Z47))+(Z48))+(Z49))+(Z50))+(Z51)</f>
        <v>253.99</v>
      </c>
      <c r="AA52" s="7">
        <f>((((((AA45)+(AA46))+(AA47))+(AA48))+(AA49))+(AA50))+(AA51)</f>
        <v>261.66999999999996</v>
      </c>
      <c r="AB52" s="7">
        <f t="shared" si="40"/>
        <v>-7.67999999999995</v>
      </c>
      <c r="AC52" s="8">
        <f t="shared" si="41"/>
        <v>0.97065005541330707</v>
      </c>
      <c r="AD52" s="7">
        <f>((((((AD45)+(AD46))+(AD47))+(AD48))+(AD49))+(AD50))+(AD51)</f>
        <v>129.41</v>
      </c>
      <c r="AE52" s="7">
        <f>((((((AE45)+(AE46))+(AE47))+(AE48))+(AE49))+(AE50))+(AE51)</f>
        <v>1261.67</v>
      </c>
      <c r="AF52" s="7">
        <f t="shared" si="42"/>
        <v>-1132.26</v>
      </c>
      <c r="AG52" s="8">
        <f t="shared" si="43"/>
        <v>0.10257040272020417</v>
      </c>
      <c r="AH52" s="7">
        <f>((((((AH45)+(AH46))+(AH47))+(AH48))+(AH49))+(AH50))+(AH51)</f>
        <v>74.42</v>
      </c>
      <c r="AI52" s="7">
        <f>((((((AI45)+(AI46))+(AI47))+(AI48))+(AI49))+(AI50))+(AI51)</f>
        <v>461.67</v>
      </c>
      <c r="AJ52" s="7">
        <f t="shared" si="44"/>
        <v>-387.25</v>
      </c>
      <c r="AK52" s="8">
        <f t="shared" si="45"/>
        <v>0.16119739207659151</v>
      </c>
      <c r="AL52" s="7">
        <f>((((((AL45)+(AL46))+(AL47))+(AL48))+(AL49))+(AL50))+(AL51)</f>
        <v>0</v>
      </c>
      <c r="AM52" s="7">
        <f>((((((AM45)+(AM46))+(AM47))+(AM48))+(AM49))+(AM50))+(AM51)</f>
        <v>261.66999999999996</v>
      </c>
      <c r="AN52" s="7">
        <f t="shared" si="46"/>
        <v>-261.66999999999996</v>
      </c>
      <c r="AO52" s="8">
        <f t="shared" si="47"/>
        <v>0</v>
      </c>
      <c r="AP52" s="7">
        <f>((((((AP45)+(AP46))+(AP47))+(AP48))+(AP49))+(AP50))+(AP51)</f>
        <v>0</v>
      </c>
      <c r="AQ52" s="7">
        <f>((((((AQ45)+(AQ46))+(AQ47))+(AQ48))+(AQ49))+(AQ50))+(AQ51)</f>
        <v>311.66999999999996</v>
      </c>
      <c r="AR52" s="7">
        <f t="shared" si="48"/>
        <v>-311.66999999999996</v>
      </c>
      <c r="AS52" s="8">
        <f t="shared" si="49"/>
        <v>0</v>
      </c>
      <c r="AT52" s="7">
        <f>((((((AT45)+(AT46))+(AT47))+(AT48))+(AT49))+(AT50))+(AT51)</f>
        <v>0</v>
      </c>
      <c r="AU52" s="7">
        <f>((((((AU45)+(AU46))+(AU47))+(AU48))+(AU49))+(AU50))+(AU51)</f>
        <v>261.63</v>
      </c>
      <c r="AV52" s="7">
        <f t="shared" si="50"/>
        <v>-261.63</v>
      </c>
      <c r="AW52" s="8">
        <f t="shared" si="51"/>
        <v>0</v>
      </c>
      <c r="AX52" s="7">
        <f t="shared" si="52"/>
        <v>5063.6499999999996</v>
      </c>
      <c r="AY52" s="20">
        <f t="shared" si="53"/>
        <v>4740</v>
      </c>
      <c r="AZ52" s="7">
        <f t="shared" si="54"/>
        <v>323.64999999999964</v>
      </c>
      <c r="BA52" s="8">
        <f t="shared" si="55"/>
        <v>1.0682805907172994</v>
      </c>
    </row>
    <row r="53" spans="1:53" x14ac:dyDescent="0.25">
      <c r="A53" s="3" t="s">
        <v>63</v>
      </c>
      <c r="B53" s="4"/>
      <c r="C53" s="4"/>
      <c r="D53" s="5">
        <f t="shared" si="28"/>
        <v>0</v>
      </c>
      <c r="E53" s="6" t="str">
        <f t="shared" si="29"/>
        <v/>
      </c>
      <c r="F53" s="4"/>
      <c r="G53" s="4"/>
      <c r="H53" s="5">
        <f t="shared" si="30"/>
        <v>0</v>
      </c>
      <c r="I53" s="6" t="str">
        <f t="shared" si="31"/>
        <v/>
      </c>
      <c r="J53" s="4"/>
      <c r="K53" s="4"/>
      <c r="L53" s="5">
        <f t="shared" si="32"/>
        <v>0</v>
      </c>
      <c r="M53" s="6" t="str">
        <f t="shared" si="33"/>
        <v/>
      </c>
      <c r="N53" s="4"/>
      <c r="O53" s="4"/>
      <c r="P53" s="5">
        <f t="shared" si="34"/>
        <v>0</v>
      </c>
      <c r="Q53" s="6" t="str">
        <f t="shared" si="35"/>
        <v/>
      </c>
      <c r="R53" s="4"/>
      <c r="S53" s="4"/>
      <c r="T53" s="5">
        <f t="shared" si="36"/>
        <v>0</v>
      </c>
      <c r="U53" s="6" t="str">
        <f t="shared" si="37"/>
        <v/>
      </c>
      <c r="V53" s="4"/>
      <c r="W53" s="4"/>
      <c r="X53" s="5">
        <f t="shared" si="38"/>
        <v>0</v>
      </c>
      <c r="Y53" s="6" t="str">
        <f t="shared" si="39"/>
        <v/>
      </c>
      <c r="Z53" s="4"/>
      <c r="AA53" s="4"/>
      <c r="AB53" s="5">
        <f t="shared" si="40"/>
        <v>0</v>
      </c>
      <c r="AC53" s="6" t="str">
        <f t="shared" si="41"/>
        <v/>
      </c>
      <c r="AD53" s="4"/>
      <c r="AE53" s="4"/>
      <c r="AF53" s="5">
        <f t="shared" si="42"/>
        <v>0</v>
      </c>
      <c r="AG53" s="6" t="str">
        <f t="shared" si="43"/>
        <v/>
      </c>
      <c r="AH53" s="4"/>
      <c r="AI53" s="4"/>
      <c r="AJ53" s="5">
        <f t="shared" si="44"/>
        <v>0</v>
      </c>
      <c r="AK53" s="6" t="str">
        <f t="shared" si="45"/>
        <v/>
      </c>
      <c r="AL53" s="4"/>
      <c r="AM53" s="4"/>
      <c r="AN53" s="5">
        <f t="shared" si="46"/>
        <v>0</v>
      </c>
      <c r="AO53" s="6" t="str">
        <f t="shared" si="47"/>
        <v/>
      </c>
      <c r="AP53" s="4"/>
      <c r="AQ53" s="4"/>
      <c r="AR53" s="5">
        <f t="shared" si="48"/>
        <v>0</v>
      </c>
      <c r="AS53" s="6" t="str">
        <f t="shared" si="49"/>
        <v/>
      </c>
      <c r="AT53" s="4"/>
      <c r="AU53" s="4"/>
      <c r="AV53" s="5">
        <f t="shared" si="50"/>
        <v>0</v>
      </c>
      <c r="AW53" s="6" t="str">
        <f t="shared" si="51"/>
        <v/>
      </c>
      <c r="AX53" s="5">
        <f t="shared" si="52"/>
        <v>0</v>
      </c>
      <c r="AY53" s="19">
        <f t="shared" si="53"/>
        <v>0</v>
      </c>
      <c r="AZ53" s="5">
        <f t="shared" si="54"/>
        <v>0</v>
      </c>
      <c r="BA53" s="6" t="str">
        <f t="shared" si="55"/>
        <v/>
      </c>
    </row>
    <row r="54" spans="1:53" x14ac:dyDescent="0.25">
      <c r="A54" s="3" t="s">
        <v>64</v>
      </c>
      <c r="B54" s="4"/>
      <c r="C54" s="5">
        <f>41.67</f>
        <v>41.67</v>
      </c>
      <c r="D54" s="5">
        <f t="shared" si="28"/>
        <v>-41.67</v>
      </c>
      <c r="E54" s="6">
        <f t="shared" si="29"/>
        <v>0</v>
      </c>
      <c r="F54" s="4"/>
      <c r="G54" s="5">
        <f>41.67</f>
        <v>41.67</v>
      </c>
      <c r="H54" s="5">
        <f t="shared" si="30"/>
        <v>-41.67</v>
      </c>
      <c r="I54" s="6">
        <f t="shared" si="31"/>
        <v>0</v>
      </c>
      <c r="J54" s="4"/>
      <c r="K54" s="5">
        <f>41.67</f>
        <v>41.67</v>
      </c>
      <c r="L54" s="5">
        <f t="shared" si="32"/>
        <v>-41.67</v>
      </c>
      <c r="M54" s="6">
        <f t="shared" si="33"/>
        <v>0</v>
      </c>
      <c r="N54" s="4"/>
      <c r="O54" s="5">
        <f>41.67</f>
        <v>41.67</v>
      </c>
      <c r="P54" s="5">
        <f t="shared" si="34"/>
        <v>-41.67</v>
      </c>
      <c r="Q54" s="6">
        <f t="shared" si="35"/>
        <v>0</v>
      </c>
      <c r="R54" s="5">
        <f>90</f>
        <v>90</v>
      </c>
      <c r="S54" s="5">
        <f>41.67</f>
        <v>41.67</v>
      </c>
      <c r="T54" s="5">
        <f t="shared" si="36"/>
        <v>48.33</v>
      </c>
      <c r="U54" s="6">
        <f t="shared" si="37"/>
        <v>2.159827213822894</v>
      </c>
      <c r="V54" s="4"/>
      <c r="W54" s="5">
        <f>41.67</f>
        <v>41.67</v>
      </c>
      <c r="X54" s="5">
        <f t="shared" si="38"/>
        <v>-41.67</v>
      </c>
      <c r="Y54" s="6">
        <f t="shared" si="39"/>
        <v>0</v>
      </c>
      <c r="Z54" s="4"/>
      <c r="AA54" s="5">
        <f>41.67</f>
        <v>41.67</v>
      </c>
      <c r="AB54" s="5">
        <f t="shared" si="40"/>
        <v>-41.67</v>
      </c>
      <c r="AC54" s="6">
        <f t="shared" si="41"/>
        <v>0</v>
      </c>
      <c r="AD54" s="4"/>
      <c r="AE54" s="5">
        <f>41.67</f>
        <v>41.67</v>
      </c>
      <c r="AF54" s="5">
        <f t="shared" si="42"/>
        <v>-41.67</v>
      </c>
      <c r="AG54" s="6">
        <f t="shared" si="43"/>
        <v>0</v>
      </c>
      <c r="AH54" s="4"/>
      <c r="AI54" s="5">
        <f>41.67</f>
        <v>41.67</v>
      </c>
      <c r="AJ54" s="5">
        <f t="shared" si="44"/>
        <v>-41.67</v>
      </c>
      <c r="AK54" s="6">
        <f t="shared" si="45"/>
        <v>0</v>
      </c>
      <c r="AL54" s="4"/>
      <c r="AM54" s="5">
        <f>41.67</f>
        <v>41.67</v>
      </c>
      <c r="AN54" s="5">
        <f t="shared" si="46"/>
        <v>-41.67</v>
      </c>
      <c r="AO54" s="6">
        <f t="shared" si="47"/>
        <v>0</v>
      </c>
      <c r="AP54" s="4"/>
      <c r="AQ54" s="5">
        <f>41.67</f>
        <v>41.67</v>
      </c>
      <c r="AR54" s="5">
        <f t="shared" si="48"/>
        <v>-41.67</v>
      </c>
      <c r="AS54" s="6">
        <f t="shared" si="49"/>
        <v>0</v>
      </c>
      <c r="AT54" s="4"/>
      <c r="AU54" s="5">
        <f>41.63</f>
        <v>41.63</v>
      </c>
      <c r="AV54" s="5">
        <f t="shared" si="50"/>
        <v>-41.63</v>
      </c>
      <c r="AW54" s="6">
        <f t="shared" si="51"/>
        <v>0</v>
      </c>
      <c r="AX54" s="5">
        <f t="shared" si="52"/>
        <v>90</v>
      </c>
      <c r="AY54" s="19">
        <f t="shared" si="53"/>
        <v>500.00000000000011</v>
      </c>
      <c r="AZ54" s="5">
        <f t="shared" si="54"/>
        <v>-410.00000000000011</v>
      </c>
      <c r="BA54" s="6">
        <f t="shared" si="55"/>
        <v>0.17999999999999997</v>
      </c>
    </row>
    <row r="55" spans="1:53" x14ac:dyDescent="0.25">
      <c r="A55" s="3" t="s">
        <v>65</v>
      </c>
      <c r="B55" s="4"/>
      <c r="C55" s="5">
        <f>291.67</f>
        <v>291.67</v>
      </c>
      <c r="D55" s="5">
        <f t="shared" si="28"/>
        <v>-291.67</v>
      </c>
      <c r="E55" s="6">
        <f t="shared" si="29"/>
        <v>0</v>
      </c>
      <c r="F55" s="4"/>
      <c r="G55" s="5">
        <f>291.67</f>
        <v>291.67</v>
      </c>
      <c r="H55" s="5">
        <f t="shared" si="30"/>
        <v>-291.67</v>
      </c>
      <c r="I55" s="6">
        <f t="shared" si="31"/>
        <v>0</v>
      </c>
      <c r="J55" s="4"/>
      <c r="K55" s="5">
        <f>291.67</f>
        <v>291.67</v>
      </c>
      <c r="L55" s="5">
        <f t="shared" si="32"/>
        <v>-291.67</v>
      </c>
      <c r="M55" s="6">
        <f t="shared" si="33"/>
        <v>0</v>
      </c>
      <c r="N55" s="4"/>
      <c r="O55" s="5">
        <f>291.67</f>
        <v>291.67</v>
      </c>
      <c r="P55" s="5">
        <f t="shared" si="34"/>
        <v>-291.67</v>
      </c>
      <c r="Q55" s="6">
        <f t="shared" si="35"/>
        <v>0</v>
      </c>
      <c r="R55" s="5">
        <f>500</f>
        <v>500</v>
      </c>
      <c r="S55" s="5">
        <f>291.67</f>
        <v>291.67</v>
      </c>
      <c r="T55" s="5">
        <f t="shared" si="36"/>
        <v>208.32999999999998</v>
      </c>
      <c r="U55" s="6">
        <f t="shared" si="37"/>
        <v>1.7142661226728837</v>
      </c>
      <c r="V55" s="4"/>
      <c r="W55" s="5">
        <f>291.67</f>
        <v>291.67</v>
      </c>
      <c r="X55" s="5">
        <f t="shared" si="38"/>
        <v>-291.67</v>
      </c>
      <c r="Y55" s="6">
        <f t="shared" si="39"/>
        <v>0</v>
      </c>
      <c r="Z55" s="5">
        <f>500</f>
        <v>500</v>
      </c>
      <c r="AA55" s="5">
        <f>291.67</f>
        <v>291.67</v>
      </c>
      <c r="AB55" s="5">
        <f t="shared" si="40"/>
        <v>208.32999999999998</v>
      </c>
      <c r="AC55" s="6">
        <f t="shared" si="41"/>
        <v>1.7142661226728837</v>
      </c>
      <c r="AD55" s="4"/>
      <c r="AE55" s="5">
        <f>291.67</f>
        <v>291.67</v>
      </c>
      <c r="AF55" s="5">
        <f t="shared" si="42"/>
        <v>-291.67</v>
      </c>
      <c r="AG55" s="6">
        <f t="shared" si="43"/>
        <v>0</v>
      </c>
      <c r="AH55" s="4"/>
      <c r="AI55" s="5">
        <f>291.67</f>
        <v>291.67</v>
      </c>
      <c r="AJ55" s="5">
        <f t="shared" si="44"/>
        <v>-291.67</v>
      </c>
      <c r="AK55" s="6">
        <f t="shared" si="45"/>
        <v>0</v>
      </c>
      <c r="AL55" s="4"/>
      <c r="AM55" s="5">
        <f>291.67</f>
        <v>291.67</v>
      </c>
      <c r="AN55" s="5">
        <f t="shared" si="46"/>
        <v>-291.67</v>
      </c>
      <c r="AO55" s="6">
        <f t="shared" si="47"/>
        <v>0</v>
      </c>
      <c r="AP55" s="4"/>
      <c r="AQ55" s="5">
        <f>291.67</f>
        <v>291.67</v>
      </c>
      <c r="AR55" s="5">
        <f t="shared" si="48"/>
        <v>-291.67</v>
      </c>
      <c r="AS55" s="6">
        <f t="shared" si="49"/>
        <v>0</v>
      </c>
      <c r="AT55" s="4"/>
      <c r="AU55" s="5">
        <f>291.63</f>
        <v>291.63</v>
      </c>
      <c r="AV55" s="5">
        <f t="shared" si="50"/>
        <v>-291.63</v>
      </c>
      <c r="AW55" s="6">
        <f t="shared" si="51"/>
        <v>0</v>
      </c>
      <c r="AX55" s="5">
        <f t="shared" si="52"/>
        <v>1000</v>
      </c>
      <c r="AY55" s="19">
        <f t="shared" si="53"/>
        <v>3500.0000000000005</v>
      </c>
      <c r="AZ55" s="5">
        <f t="shared" si="54"/>
        <v>-2500.0000000000005</v>
      </c>
      <c r="BA55" s="6">
        <f t="shared" si="55"/>
        <v>0.2857142857142857</v>
      </c>
    </row>
    <row r="56" spans="1:53" x14ac:dyDescent="0.25">
      <c r="A56" s="3" t="s">
        <v>66</v>
      </c>
      <c r="B56" s="4"/>
      <c r="C56" s="5">
        <f>12.5</f>
        <v>12.5</v>
      </c>
      <c r="D56" s="5">
        <f t="shared" si="28"/>
        <v>-12.5</v>
      </c>
      <c r="E56" s="6">
        <f t="shared" si="29"/>
        <v>0</v>
      </c>
      <c r="F56" s="4"/>
      <c r="G56" s="5">
        <f>12.5</f>
        <v>12.5</v>
      </c>
      <c r="H56" s="5">
        <f t="shared" si="30"/>
        <v>-12.5</v>
      </c>
      <c r="I56" s="6">
        <f t="shared" si="31"/>
        <v>0</v>
      </c>
      <c r="J56" s="4"/>
      <c r="K56" s="5">
        <f>12.5</f>
        <v>12.5</v>
      </c>
      <c r="L56" s="5">
        <f t="shared" si="32"/>
        <v>-12.5</v>
      </c>
      <c r="M56" s="6">
        <f t="shared" si="33"/>
        <v>0</v>
      </c>
      <c r="N56" s="4"/>
      <c r="O56" s="5">
        <f>12.5</f>
        <v>12.5</v>
      </c>
      <c r="P56" s="5">
        <f t="shared" si="34"/>
        <v>-12.5</v>
      </c>
      <c r="Q56" s="6">
        <f t="shared" si="35"/>
        <v>0</v>
      </c>
      <c r="R56" s="4"/>
      <c r="S56" s="5">
        <f>12.5</f>
        <v>12.5</v>
      </c>
      <c r="T56" s="5">
        <f t="shared" si="36"/>
        <v>-12.5</v>
      </c>
      <c r="U56" s="6">
        <f t="shared" si="37"/>
        <v>0</v>
      </c>
      <c r="V56" s="4"/>
      <c r="W56" s="5">
        <f>12.5</f>
        <v>12.5</v>
      </c>
      <c r="X56" s="5">
        <f t="shared" si="38"/>
        <v>-12.5</v>
      </c>
      <c r="Y56" s="6">
        <f t="shared" si="39"/>
        <v>0</v>
      </c>
      <c r="Z56" s="4"/>
      <c r="AA56" s="5">
        <f>12.5</f>
        <v>12.5</v>
      </c>
      <c r="AB56" s="5">
        <f t="shared" si="40"/>
        <v>-12.5</v>
      </c>
      <c r="AC56" s="6">
        <f t="shared" si="41"/>
        <v>0</v>
      </c>
      <c r="AD56" s="4"/>
      <c r="AE56" s="5">
        <f>12.5</f>
        <v>12.5</v>
      </c>
      <c r="AF56" s="5">
        <f t="shared" si="42"/>
        <v>-12.5</v>
      </c>
      <c r="AG56" s="6">
        <f t="shared" si="43"/>
        <v>0</v>
      </c>
      <c r="AH56" s="4"/>
      <c r="AI56" s="5">
        <f>12.5</f>
        <v>12.5</v>
      </c>
      <c r="AJ56" s="5">
        <f t="shared" si="44"/>
        <v>-12.5</v>
      </c>
      <c r="AK56" s="6">
        <f t="shared" si="45"/>
        <v>0</v>
      </c>
      <c r="AL56" s="4"/>
      <c r="AM56" s="5">
        <f>12.5</f>
        <v>12.5</v>
      </c>
      <c r="AN56" s="5">
        <f t="shared" si="46"/>
        <v>-12.5</v>
      </c>
      <c r="AO56" s="6">
        <f t="shared" si="47"/>
        <v>0</v>
      </c>
      <c r="AP56" s="4"/>
      <c r="AQ56" s="5">
        <f>12.5</f>
        <v>12.5</v>
      </c>
      <c r="AR56" s="5">
        <f t="shared" si="48"/>
        <v>-12.5</v>
      </c>
      <c r="AS56" s="6">
        <f t="shared" si="49"/>
        <v>0</v>
      </c>
      <c r="AT56" s="4"/>
      <c r="AU56" s="5">
        <f>12.5</f>
        <v>12.5</v>
      </c>
      <c r="AV56" s="5">
        <f t="shared" si="50"/>
        <v>-12.5</v>
      </c>
      <c r="AW56" s="6">
        <f t="shared" si="51"/>
        <v>0</v>
      </c>
      <c r="AX56" s="5">
        <f t="shared" si="52"/>
        <v>0</v>
      </c>
      <c r="AY56" s="19">
        <f t="shared" si="53"/>
        <v>150</v>
      </c>
      <c r="AZ56" s="5">
        <f t="shared" si="54"/>
        <v>-150</v>
      </c>
      <c r="BA56" s="6">
        <f t="shared" si="55"/>
        <v>0</v>
      </c>
    </row>
    <row r="57" spans="1:53" x14ac:dyDescent="0.25">
      <c r="A57" s="3" t="s">
        <v>67</v>
      </c>
      <c r="B57" s="4"/>
      <c r="C57" s="5">
        <f>12.5</f>
        <v>12.5</v>
      </c>
      <c r="D57" s="5">
        <f t="shared" si="28"/>
        <v>-12.5</v>
      </c>
      <c r="E57" s="6">
        <f t="shared" si="29"/>
        <v>0</v>
      </c>
      <c r="F57" s="4"/>
      <c r="G57" s="5">
        <f>12.5</f>
        <v>12.5</v>
      </c>
      <c r="H57" s="5">
        <f t="shared" si="30"/>
        <v>-12.5</v>
      </c>
      <c r="I57" s="6">
        <f t="shared" si="31"/>
        <v>0</v>
      </c>
      <c r="J57" s="4"/>
      <c r="K57" s="5">
        <f>12.5</f>
        <v>12.5</v>
      </c>
      <c r="L57" s="5">
        <f t="shared" si="32"/>
        <v>-12.5</v>
      </c>
      <c r="M57" s="6">
        <f t="shared" si="33"/>
        <v>0</v>
      </c>
      <c r="N57" s="4"/>
      <c r="O57" s="5">
        <f>12.5</f>
        <v>12.5</v>
      </c>
      <c r="P57" s="5">
        <f t="shared" si="34"/>
        <v>-12.5</v>
      </c>
      <c r="Q57" s="6">
        <f t="shared" si="35"/>
        <v>0</v>
      </c>
      <c r="R57" s="4"/>
      <c r="S57" s="5">
        <f>12.5</f>
        <v>12.5</v>
      </c>
      <c r="T57" s="5">
        <f t="shared" si="36"/>
        <v>-12.5</v>
      </c>
      <c r="U57" s="6">
        <f t="shared" si="37"/>
        <v>0</v>
      </c>
      <c r="V57" s="4"/>
      <c r="W57" s="5">
        <f>12.5</f>
        <v>12.5</v>
      </c>
      <c r="X57" s="5">
        <f t="shared" si="38"/>
        <v>-12.5</v>
      </c>
      <c r="Y57" s="6">
        <f t="shared" si="39"/>
        <v>0</v>
      </c>
      <c r="Z57" s="4"/>
      <c r="AA57" s="5">
        <f>12.5</f>
        <v>12.5</v>
      </c>
      <c r="AB57" s="5">
        <f t="shared" si="40"/>
        <v>-12.5</v>
      </c>
      <c r="AC57" s="6">
        <f t="shared" si="41"/>
        <v>0</v>
      </c>
      <c r="AD57" s="4"/>
      <c r="AE57" s="5">
        <f>12.5</f>
        <v>12.5</v>
      </c>
      <c r="AF57" s="5">
        <f t="shared" si="42"/>
        <v>-12.5</v>
      </c>
      <c r="AG57" s="6">
        <f t="shared" si="43"/>
        <v>0</v>
      </c>
      <c r="AH57" s="4"/>
      <c r="AI57" s="5">
        <f>12.5</f>
        <v>12.5</v>
      </c>
      <c r="AJ57" s="5">
        <f t="shared" si="44"/>
        <v>-12.5</v>
      </c>
      <c r="AK57" s="6">
        <f t="shared" si="45"/>
        <v>0</v>
      </c>
      <c r="AL57" s="4"/>
      <c r="AM57" s="5">
        <f>12.5</f>
        <v>12.5</v>
      </c>
      <c r="AN57" s="5">
        <f t="shared" si="46"/>
        <v>-12.5</v>
      </c>
      <c r="AO57" s="6">
        <f t="shared" si="47"/>
        <v>0</v>
      </c>
      <c r="AP57" s="4"/>
      <c r="AQ57" s="5">
        <f>12.5</f>
        <v>12.5</v>
      </c>
      <c r="AR57" s="5">
        <f t="shared" si="48"/>
        <v>-12.5</v>
      </c>
      <c r="AS57" s="6">
        <f t="shared" si="49"/>
        <v>0</v>
      </c>
      <c r="AT57" s="4"/>
      <c r="AU57" s="5">
        <f>12.5</f>
        <v>12.5</v>
      </c>
      <c r="AV57" s="5">
        <f t="shared" si="50"/>
        <v>-12.5</v>
      </c>
      <c r="AW57" s="6">
        <f t="shared" si="51"/>
        <v>0</v>
      </c>
      <c r="AX57" s="5">
        <f t="shared" si="52"/>
        <v>0</v>
      </c>
      <c r="AY57" s="19">
        <f t="shared" si="53"/>
        <v>150</v>
      </c>
      <c r="AZ57" s="5">
        <f t="shared" si="54"/>
        <v>-150</v>
      </c>
      <c r="BA57" s="6">
        <f t="shared" si="55"/>
        <v>0</v>
      </c>
    </row>
    <row r="58" spans="1:53" x14ac:dyDescent="0.25">
      <c r="A58" s="3" t="s">
        <v>68</v>
      </c>
      <c r="B58" s="7">
        <f>((((B53)+(B54))+(B55))+(B56))+(B57)</f>
        <v>0</v>
      </c>
      <c r="C58" s="7">
        <f>((((C53)+(C54))+(C55))+(C56))+(C57)</f>
        <v>358.34000000000003</v>
      </c>
      <c r="D58" s="7">
        <f t="shared" si="28"/>
        <v>-358.34000000000003</v>
      </c>
      <c r="E58" s="8">
        <f t="shared" si="29"/>
        <v>0</v>
      </c>
      <c r="F58" s="7">
        <f>((((F53)+(F54))+(F55))+(F56))+(F57)</f>
        <v>0</v>
      </c>
      <c r="G58" s="7">
        <f>((((G53)+(G54))+(G55))+(G56))+(G57)</f>
        <v>358.34000000000003</v>
      </c>
      <c r="H58" s="7">
        <f t="shared" si="30"/>
        <v>-358.34000000000003</v>
      </c>
      <c r="I58" s="8">
        <f t="shared" si="31"/>
        <v>0</v>
      </c>
      <c r="J58" s="7">
        <f>((((J53)+(J54))+(J55))+(J56))+(J57)</f>
        <v>0</v>
      </c>
      <c r="K58" s="7">
        <f>((((K53)+(K54))+(K55))+(K56))+(K57)</f>
        <v>358.34000000000003</v>
      </c>
      <c r="L58" s="7">
        <f t="shared" si="32"/>
        <v>-358.34000000000003</v>
      </c>
      <c r="M58" s="8">
        <f t="shared" si="33"/>
        <v>0</v>
      </c>
      <c r="N58" s="7">
        <f>((((N53)+(N54))+(N55))+(N56))+(N57)</f>
        <v>0</v>
      </c>
      <c r="O58" s="7">
        <f>((((O53)+(O54))+(O55))+(O56))+(O57)</f>
        <v>358.34000000000003</v>
      </c>
      <c r="P58" s="7">
        <f t="shared" si="34"/>
        <v>-358.34000000000003</v>
      </c>
      <c r="Q58" s="8">
        <f t="shared" si="35"/>
        <v>0</v>
      </c>
      <c r="R58" s="7">
        <f>((((R53)+(R54))+(R55))+(R56))+(R57)</f>
        <v>590</v>
      </c>
      <c r="S58" s="7">
        <f>((((S53)+(S54))+(S55))+(S56))+(S57)</f>
        <v>358.34000000000003</v>
      </c>
      <c r="T58" s="7">
        <f t="shared" si="36"/>
        <v>231.65999999999997</v>
      </c>
      <c r="U58" s="8">
        <f t="shared" si="37"/>
        <v>1.6464809957024054</v>
      </c>
      <c r="V58" s="7">
        <f>((((V53)+(V54))+(V55))+(V56))+(V57)</f>
        <v>0</v>
      </c>
      <c r="W58" s="7">
        <f>((((W53)+(W54))+(W55))+(W56))+(W57)</f>
        <v>358.34000000000003</v>
      </c>
      <c r="X58" s="7">
        <f t="shared" si="38"/>
        <v>-358.34000000000003</v>
      </c>
      <c r="Y58" s="8">
        <f t="shared" si="39"/>
        <v>0</v>
      </c>
      <c r="Z58" s="7">
        <f>((((Z53)+(Z54))+(Z55))+(Z56))+(Z57)</f>
        <v>500</v>
      </c>
      <c r="AA58" s="7">
        <f>((((AA53)+(AA54))+(AA55))+(AA56))+(AA57)</f>
        <v>358.34000000000003</v>
      </c>
      <c r="AB58" s="7">
        <f t="shared" si="40"/>
        <v>141.65999999999997</v>
      </c>
      <c r="AC58" s="8">
        <f t="shared" si="41"/>
        <v>1.3953228777139028</v>
      </c>
      <c r="AD58" s="7">
        <f>((((AD53)+(AD54))+(AD55))+(AD56))+(AD57)</f>
        <v>0</v>
      </c>
      <c r="AE58" s="7">
        <f>((((AE53)+(AE54))+(AE55))+(AE56))+(AE57)</f>
        <v>358.34000000000003</v>
      </c>
      <c r="AF58" s="7">
        <f t="shared" si="42"/>
        <v>-358.34000000000003</v>
      </c>
      <c r="AG58" s="8">
        <f t="shared" si="43"/>
        <v>0</v>
      </c>
      <c r="AH58" s="7">
        <f>((((AH53)+(AH54))+(AH55))+(AH56))+(AH57)</f>
        <v>0</v>
      </c>
      <c r="AI58" s="7">
        <f>((((AI53)+(AI54))+(AI55))+(AI56))+(AI57)</f>
        <v>358.34000000000003</v>
      </c>
      <c r="AJ58" s="7">
        <f t="shared" si="44"/>
        <v>-358.34000000000003</v>
      </c>
      <c r="AK58" s="8">
        <f t="shared" si="45"/>
        <v>0</v>
      </c>
      <c r="AL58" s="7">
        <f>((((AL53)+(AL54))+(AL55))+(AL56))+(AL57)</f>
        <v>0</v>
      </c>
      <c r="AM58" s="7">
        <f>((((AM53)+(AM54))+(AM55))+(AM56))+(AM57)</f>
        <v>358.34000000000003</v>
      </c>
      <c r="AN58" s="7">
        <f t="shared" si="46"/>
        <v>-358.34000000000003</v>
      </c>
      <c r="AO58" s="8">
        <f t="shared" si="47"/>
        <v>0</v>
      </c>
      <c r="AP58" s="7">
        <f>((((AP53)+(AP54))+(AP55))+(AP56))+(AP57)</f>
        <v>0</v>
      </c>
      <c r="AQ58" s="7">
        <f>((((AQ53)+(AQ54))+(AQ55))+(AQ56))+(AQ57)</f>
        <v>358.34000000000003</v>
      </c>
      <c r="AR58" s="7">
        <f t="shared" si="48"/>
        <v>-358.34000000000003</v>
      </c>
      <c r="AS58" s="8">
        <f t="shared" si="49"/>
        <v>0</v>
      </c>
      <c r="AT58" s="7">
        <f>((((AT53)+(AT54))+(AT55))+(AT56))+(AT57)</f>
        <v>0</v>
      </c>
      <c r="AU58" s="7">
        <f>((((AU53)+(AU54))+(AU55))+(AU56))+(AU57)</f>
        <v>358.26</v>
      </c>
      <c r="AV58" s="7">
        <f t="shared" si="50"/>
        <v>-358.26</v>
      </c>
      <c r="AW58" s="8">
        <f t="shared" si="51"/>
        <v>0</v>
      </c>
      <c r="AX58" s="7">
        <f t="shared" si="52"/>
        <v>1090</v>
      </c>
      <c r="AY58" s="20">
        <f t="shared" si="53"/>
        <v>4300.0000000000009</v>
      </c>
      <c r="AZ58" s="7">
        <f t="shared" si="54"/>
        <v>-3210.0000000000009</v>
      </c>
      <c r="BA58" s="8">
        <f t="shared" si="55"/>
        <v>0.25348837209302322</v>
      </c>
    </row>
    <row r="59" spans="1:53" x14ac:dyDescent="0.25">
      <c r="A59" s="3" t="s">
        <v>69</v>
      </c>
      <c r="B59" s="4"/>
      <c r="C59" s="4"/>
      <c r="D59" s="5">
        <f t="shared" si="28"/>
        <v>0</v>
      </c>
      <c r="E59" s="6" t="str">
        <f t="shared" si="29"/>
        <v/>
      </c>
      <c r="F59" s="5">
        <f>9250</f>
        <v>9250</v>
      </c>
      <c r="G59" s="4"/>
      <c r="H59" s="5">
        <f t="shared" si="30"/>
        <v>9250</v>
      </c>
      <c r="I59" s="6" t="str">
        <f t="shared" si="31"/>
        <v/>
      </c>
      <c r="J59" s="4"/>
      <c r="K59" s="4"/>
      <c r="L59" s="5">
        <f t="shared" si="32"/>
        <v>0</v>
      </c>
      <c r="M59" s="6" t="str">
        <f t="shared" si="33"/>
        <v/>
      </c>
      <c r="N59" s="4"/>
      <c r="O59" s="4"/>
      <c r="P59" s="5">
        <f t="shared" si="34"/>
        <v>0</v>
      </c>
      <c r="Q59" s="6" t="str">
        <f t="shared" si="35"/>
        <v/>
      </c>
      <c r="R59" s="4"/>
      <c r="S59" s="4"/>
      <c r="T59" s="5">
        <f t="shared" si="36"/>
        <v>0</v>
      </c>
      <c r="U59" s="6" t="str">
        <f t="shared" si="37"/>
        <v/>
      </c>
      <c r="V59" s="4"/>
      <c r="W59" s="4"/>
      <c r="X59" s="5">
        <f t="shared" si="38"/>
        <v>0</v>
      </c>
      <c r="Y59" s="6" t="str">
        <f t="shared" si="39"/>
        <v/>
      </c>
      <c r="Z59" s="4"/>
      <c r="AA59" s="4"/>
      <c r="AB59" s="5">
        <f t="shared" si="40"/>
        <v>0</v>
      </c>
      <c r="AC59" s="6" t="str">
        <f t="shared" si="41"/>
        <v/>
      </c>
      <c r="AD59" s="4"/>
      <c r="AE59" s="4"/>
      <c r="AF59" s="5">
        <f t="shared" si="42"/>
        <v>0</v>
      </c>
      <c r="AG59" s="6" t="str">
        <f t="shared" si="43"/>
        <v/>
      </c>
      <c r="AH59" s="4"/>
      <c r="AI59" s="4"/>
      <c r="AJ59" s="5">
        <f t="shared" si="44"/>
        <v>0</v>
      </c>
      <c r="AK59" s="6" t="str">
        <f t="shared" si="45"/>
        <v/>
      </c>
      <c r="AL59" s="4"/>
      <c r="AM59" s="4"/>
      <c r="AN59" s="5">
        <f t="shared" si="46"/>
        <v>0</v>
      </c>
      <c r="AO59" s="6" t="str">
        <f t="shared" si="47"/>
        <v/>
      </c>
      <c r="AP59" s="4"/>
      <c r="AQ59" s="4"/>
      <c r="AR59" s="5">
        <f t="shared" si="48"/>
        <v>0</v>
      </c>
      <c r="AS59" s="6" t="str">
        <f t="shared" si="49"/>
        <v/>
      </c>
      <c r="AT59" s="4"/>
      <c r="AU59" s="4"/>
      <c r="AV59" s="5">
        <f t="shared" si="50"/>
        <v>0</v>
      </c>
      <c r="AW59" s="6" t="str">
        <f t="shared" si="51"/>
        <v/>
      </c>
      <c r="AX59" s="5">
        <f t="shared" si="52"/>
        <v>9250</v>
      </c>
      <c r="AY59" s="19">
        <f t="shared" si="53"/>
        <v>0</v>
      </c>
      <c r="AZ59" s="5">
        <f t="shared" si="54"/>
        <v>9250</v>
      </c>
      <c r="BA59" s="6" t="str">
        <f t="shared" si="55"/>
        <v/>
      </c>
    </row>
    <row r="60" spans="1:53" x14ac:dyDescent="0.25">
      <c r="A60" s="3" t="s">
        <v>70</v>
      </c>
      <c r="B60" s="7">
        <f>((((((((((((((((B19)+(B20))+(B21))+(B22))+(B23))+(B24))+(B25))+(B26))+(B27))+(B28))+(B29))+(B35))+(B40))+(B44))+(B52))+(B58))+(B59)</f>
        <v>20003.8</v>
      </c>
      <c r="C60" s="7">
        <f>((((((((((((((((C19)+(C20))+(C21))+(C22))+(C23))+(C24))+(C25))+(C26))+(C27))+(C28))+(C29))+(C35))+(C40))+(C44))+(C52))+(C58))+(C59)</f>
        <v>20184.59</v>
      </c>
      <c r="D60" s="7">
        <f t="shared" si="28"/>
        <v>-180.79000000000087</v>
      </c>
      <c r="E60" s="8">
        <f t="shared" si="29"/>
        <v>0.99104316708934881</v>
      </c>
      <c r="F60" s="7">
        <f>((((((((((((((((F19)+(F20))+(F21))+(F22))+(F23))+(F24))+(F25))+(F26))+(F27))+(F28))+(F29))+(F35))+(F40))+(F44))+(F52))+(F58))+(F59)</f>
        <v>31894.440000000002</v>
      </c>
      <c r="G60" s="7">
        <f>((((((((((((((((G19)+(G20))+(G21))+(G22))+(G23))+(G24))+(G25))+(G26))+(G27))+(G28))+(G29))+(G35))+(G40))+(G44))+(G52))+(G58))+(G59)</f>
        <v>21284.59</v>
      </c>
      <c r="H60" s="7">
        <f t="shared" si="30"/>
        <v>10609.850000000002</v>
      </c>
      <c r="I60" s="8">
        <f t="shared" si="31"/>
        <v>1.4984756577411171</v>
      </c>
      <c r="J60" s="7">
        <f>((((((((((((((((J19)+(J20))+(J21))+(J22))+(J23))+(J24))+(J25))+(J26))+(J27))+(J28))+(J29))+(J35))+(J40))+(J44))+(J52))+(J58))+(J59)</f>
        <v>11828.119999999999</v>
      </c>
      <c r="K60" s="7">
        <f>((((((((((((((((K19)+(K20))+(K21))+(K22))+(K23))+(K24))+(K25))+(K26))+(K27))+(K28))+(K29))+(K35))+(K40))+(K44))+(K52))+(K58))+(K59)</f>
        <v>20184.59</v>
      </c>
      <c r="L60" s="7">
        <f t="shared" si="32"/>
        <v>-8356.4700000000012</v>
      </c>
      <c r="M60" s="8">
        <f t="shared" si="33"/>
        <v>0.58599753574385205</v>
      </c>
      <c r="N60" s="7">
        <f>((((((((((((((((N19)+(N20))+(N21))+(N22))+(N23))+(N24))+(N25))+(N26))+(N27))+(N28))+(N29))+(N35))+(N40))+(N44))+(N52))+(N58))+(N59)</f>
        <v>22969.4</v>
      </c>
      <c r="O60" s="7">
        <f>((((((((((((((((O19)+(O20))+(O21))+(O22))+(O23))+(O24))+(O25))+(O26))+(O27))+(O28))+(O29))+(O35))+(O40))+(O44))+(O52))+(O58))+(O59)</f>
        <v>22334.59</v>
      </c>
      <c r="P60" s="7">
        <f t="shared" si="34"/>
        <v>634.81000000000131</v>
      </c>
      <c r="Q60" s="8">
        <f t="shared" si="35"/>
        <v>1.0284227290494252</v>
      </c>
      <c r="R60" s="7">
        <f>((((((((((((((((R19)+(R20))+(R21))+(R22))+(R23))+(R24))+(R25))+(R26))+(R27))+(R28))+(R29))+(R35))+(R40))+(R44))+(R52))+(R58))+(R59)</f>
        <v>23944.54</v>
      </c>
      <c r="S60" s="7">
        <f>((((((((((((((((S19)+(S20))+(S21))+(S22))+(S23))+(S24))+(S25))+(S26))+(S27))+(S28))+(S29))+(S35))+(S40))+(S44))+(S52))+(S58))+(S59)</f>
        <v>24184.59</v>
      </c>
      <c r="T60" s="7">
        <f t="shared" si="36"/>
        <v>-240.04999999999927</v>
      </c>
      <c r="U60" s="8">
        <f t="shared" si="37"/>
        <v>0.99007425802959659</v>
      </c>
      <c r="V60" s="7">
        <f>((((((((((((((((V19)+(V20))+(V21))+(V22))+(V23))+(V24))+(V25))+(V26))+(V27))+(V28))+(V29))+(V35))+(V40))+(V44))+(V52))+(V58))+(V59)</f>
        <v>26349.579999999998</v>
      </c>
      <c r="W60" s="7">
        <f>((((((((((((((((W19)+(W20))+(W21))+(W22))+(W23))+(W24))+(W25))+(W26))+(W27))+(W28))+(W29))+(W35))+(W40))+(W44))+(W52))+(W58))+(W59)</f>
        <v>44284.59</v>
      </c>
      <c r="X60" s="7">
        <f t="shared" si="38"/>
        <v>-17935.009999999998</v>
      </c>
      <c r="Y60" s="8">
        <f t="shared" si="39"/>
        <v>0.5950056215943289</v>
      </c>
      <c r="Z60" s="7">
        <f>((((((((((((((((Z19)+(Z20))+(Z21))+(Z22))+(Z23))+(Z24))+(Z25))+(Z26))+(Z27))+(Z28))+(Z29))+(Z35))+(Z40))+(Z44))+(Z52))+(Z58))+(Z59)</f>
        <v>24107.06</v>
      </c>
      <c r="AA60" s="7">
        <f>((((((((((((((((AA19)+(AA20))+(AA21))+(AA22))+(AA23))+(AA24))+(AA25))+(AA26))+(AA27))+(AA28))+(AA29))+(AA35))+(AA40))+(AA44))+(AA52))+(AA58))+(AA59)</f>
        <v>21184.59</v>
      </c>
      <c r="AB60" s="7">
        <f t="shared" si="40"/>
        <v>2922.4700000000012</v>
      </c>
      <c r="AC60" s="8">
        <f t="shared" si="41"/>
        <v>1.1379526344385236</v>
      </c>
      <c r="AD60" s="7">
        <f>((((((((((((((((AD19)+(AD20))+(AD21))+(AD22))+(AD23))+(AD24))+(AD25))+(AD26))+(AD27))+(AD28))+(AD29))+(AD35))+(AD40))+(AD44))+(AD52))+(AD58))+(AD59)</f>
        <v>11662.74</v>
      </c>
      <c r="AE60" s="7">
        <f>((((((((((((((((AE19)+(AE20))+(AE21))+(AE22))+(AE23))+(AE24))+(AE25))+(AE26))+(AE27))+(AE28))+(AE29))+(AE35))+(AE40))+(AE44))+(AE52))+(AE58))+(AE59)</f>
        <v>21184.59</v>
      </c>
      <c r="AF60" s="7">
        <f t="shared" si="42"/>
        <v>-9521.85</v>
      </c>
      <c r="AG60" s="8">
        <f t="shared" si="43"/>
        <v>0.55052941784570764</v>
      </c>
      <c r="AH60" s="7">
        <f>((((((((((((((((AH19)+(AH20))+(AH21))+(AH22))+(AH23))+(AH24))+(AH25))+(AH26))+(AH27))+(AH28))+(AH29))+(AH35))+(AH40))+(AH44))+(AH52))+(AH58))+(AH59)</f>
        <v>629</v>
      </c>
      <c r="AI60" s="7">
        <f>((((((((((((((((AI19)+(AI20))+(AI21))+(AI22))+(AI23))+(AI24))+(AI25))+(AI26))+(AI27))+(AI28))+(AI29))+(AI35))+(AI40))+(AI44))+(AI52))+(AI58))+(AI59)</f>
        <v>22384.59</v>
      </c>
      <c r="AJ60" s="7">
        <f t="shared" si="44"/>
        <v>-21755.59</v>
      </c>
      <c r="AK60" s="8">
        <f t="shared" si="45"/>
        <v>2.8099688223014136E-2</v>
      </c>
      <c r="AL60" s="7">
        <f>((((((((((((((((AL19)+(AL20))+(AL21))+(AL22))+(AL23))+(AL24))+(AL25))+(AL26))+(AL27))+(AL28))+(AL29))+(AL35))+(AL40))+(AL44))+(AL52))+(AL58))+(AL59)</f>
        <v>0</v>
      </c>
      <c r="AM60" s="7">
        <f>((((((((((((((((AM19)+(AM20))+(AM21))+(AM22))+(AM23))+(AM24))+(AM25))+(AM26))+(AM27))+(AM28))+(AM29))+(AM35))+(AM40))+(AM44))+(AM52))+(AM58))+(AM59)</f>
        <v>20184.59</v>
      </c>
      <c r="AN60" s="7">
        <f t="shared" si="46"/>
        <v>-20184.59</v>
      </c>
      <c r="AO60" s="8">
        <f t="shared" si="47"/>
        <v>0</v>
      </c>
      <c r="AP60" s="7">
        <f>((((((((((((((((AP19)+(AP20))+(AP21))+(AP22))+(AP23))+(AP24))+(AP25))+(AP26))+(AP27))+(AP28))+(AP29))+(AP35))+(AP40))+(AP44))+(AP52))+(AP58))+(AP59)</f>
        <v>0</v>
      </c>
      <c r="AQ60" s="7">
        <f>((((((((((((((((AQ19)+(AQ20))+(AQ21))+(AQ22))+(AQ23))+(AQ24))+(AQ25))+(AQ26))+(AQ27))+(AQ28))+(AQ29))+(AQ35))+(AQ40))+(AQ44))+(AQ52))+(AQ58))+(AQ59)</f>
        <v>20234.59</v>
      </c>
      <c r="AR60" s="7">
        <f t="shared" si="48"/>
        <v>-20234.59</v>
      </c>
      <c r="AS60" s="8">
        <f t="shared" si="49"/>
        <v>0</v>
      </c>
      <c r="AT60" s="7">
        <f>((((((((((((((((AT19)+(AT20))+(AT21))+(AT22))+(AT23))+(AT24))+(AT25))+(AT26))+(AT27))+(AT28))+(AT29))+(AT35))+(AT40))+(AT44))+(AT52))+(AT58))+(AT59)</f>
        <v>0</v>
      </c>
      <c r="AU60" s="7">
        <f>((((((((((((((((AU19)+(AU20))+(AU21))+(AU22))+(AU23))+(AU24))+(AU25))+(AU26))+(AU27))+(AU28))+(AU29))+(AU35))+(AU40))+(AU44))+(AU52))+(AU58))+(AU59)</f>
        <v>20184.509999999998</v>
      </c>
      <c r="AV60" s="7">
        <f t="shared" si="50"/>
        <v>-20184.509999999998</v>
      </c>
      <c r="AW60" s="8">
        <f t="shared" si="51"/>
        <v>0</v>
      </c>
      <c r="AX60" s="7">
        <f t="shared" si="52"/>
        <v>173388.68</v>
      </c>
      <c r="AY60" s="20">
        <f t="shared" si="53"/>
        <v>277814.99999999994</v>
      </c>
      <c r="AZ60" s="7">
        <f t="shared" si="54"/>
        <v>-104426.31999999995</v>
      </c>
      <c r="BA60" s="8">
        <f t="shared" si="55"/>
        <v>0.62411561650738812</v>
      </c>
    </row>
    <row r="61" spans="1:53" x14ac:dyDescent="0.25">
      <c r="A61" s="3" t="s">
        <v>71</v>
      </c>
      <c r="B61" s="7">
        <f>(B17)-(B60)</f>
        <v>-16110.779999999999</v>
      </c>
      <c r="C61" s="7">
        <f>(C17)-(C60)</f>
        <v>-16584.59</v>
      </c>
      <c r="D61" s="7">
        <f t="shared" si="28"/>
        <v>473.81000000000131</v>
      </c>
      <c r="E61" s="8">
        <f t="shared" si="29"/>
        <v>0.97143070766295692</v>
      </c>
      <c r="F61" s="7">
        <f>(F17)-(F60)</f>
        <v>14063.190000000002</v>
      </c>
      <c r="G61" s="7">
        <f>(G17)-(G60)</f>
        <v>25965.41</v>
      </c>
      <c r="H61" s="7">
        <f t="shared" si="30"/>
        <v>-11902.219999999998</v>
      </c>
      <c r="I61" s="8">
        <f t="shared" si="31"/>
        <v>0.54161247598247064</v>
      </c>
      <c r="J61" s="7">
        <f>(J17)-(J60)</f>
        <v>-7912.3399999999983</v>
      </c>
      <c r="K61" s="7">
        <f>(K17)-(K60)</f>
        <v>-17884.59</v>
      </c>
      <c r="L61" s="7">
        <f t="shared" si="32"/>
        <v>9972.2500000000018</v>
      </c>
      <c r="M61" s="8">
        <f t="shared" si="33"/>
        <v>0.44241103654039587</v>
      </c>
      <c r="N61" s="7">
        <f>(N17)-(N60)</f>
        <v>11873.099999999999</v>
      </c>
      <c r="O61" s="7">
        <f>(O17)-(O60)</f>
        <v>22415.41</v>
      </c>
      <c r="P61" s="7">
        <f t="shared" si="34"/>
        <v>-10542.310000000001</v>
      </c>
      <c r="Q61" s="8">
        <f t="shared" si="35"/>
        <v>0.52968471243666737</v>
      </c>
      <c r="R61" s="7">
        <f>(R17)-(R60)</f>
        <v>-20190.560000000001</v>
      </c>
      <c r="S61" s="7">
        <f>(S17)-(S60)</f>
        <v>-23184.59</v>
      </c>
      <c r="T61" s="7">
        <f t="shared" si="36"/>
        <v>2994.0299999999988</v>
      </c>
      <c r="U61" s="8">
        <f t="shared" si="37"/>
        <v>0.87086120565427305</v>
      </c>
      <c r="V61" s="7">
        <f>(V17)-(V60)</f>
        <v>-15082.049999999997</v>
      </c>
      <c r="W61" s="7">
        <f>(W17)-(W60)</f>
        <v>3115.4100000000035</v>
      </c>
      <c r="X61" s="7">
        <f t="shared" si="38"/>
        <v>-18197.46</v>
      </c>
      <c r="Y61" s="8">
        <f t="shared" si="39"/>
        <v>-4.8411124057507617</v>
      </c>
      <c r="Z61" s="7">
        <f>(Z17)-(Z60)</f>
        <v>-16914.240000000002</v>
      </c>
      <c r="AA61" s="7">
        <f>(AA17)-(AA60)</f>
        <v>17665.41</v>
      </c>
      <c r="AB61" s="7">
        <f t="shared" si="40"/>
        <v>-34579.65</v>
      </c>
      <c r="AC61" s="8">
        <f t="shared" si="41"/>
        <v>-0.95747791871233112</v>
      </c>
      <c r="AD61" s="7">
        <f>(AD17)-(AD60)</f>
        <v>25983.4</v>
      </c>
      <c r="AE61" s="7">
        <f>(AE17)-(AE60)</f>
        <v>-20684.59</v>
      </c>
      <c r="AF61" s="7">
        <f t="shared" si="42"/>
        <v>46667.990000000005</v>
      </c>
      <c r="AG61" s="8">
        <f t="shared" si="43"/>
        <v>-1.2561718651421179</v>
      </c>
      <c r="AH61" s="7">
        <f>(AH17)-(AH60)</f>
        <v>2704.34</v>
      </c>
      <c r="AI61" s="7">
        <f>(AI17)-(AI60)</f>
        <v>-21584.59</v>
      </c>
      <c r="AJ61" s="7">
        <f t="shared" si="44"/>
        <v>24288.93</v>
      </c>
      <c r="AK61" s="8">
        <f t="shared" si="45"/>
        <v>-0.12529031128226203</v>
      </c>
      <c r="AL61" s="7">
        <f>(AL17)-(AL60)</f>
        <v>3333.34</v>
      </c>
      <c r="AM61" s="7">
        <f>(AM17)-(AM60)</f>
        <v>19365.41</v>
      </c>
      <c r="AN61" s="7">
        <f t="shared" si="46"/>
        <v>-16032.07</v>
      </c>
      <c r="AO61" s="8">
        <f t="shared" si="47"/>
        <v>0.17212855291987106</v>
      </c>
      <c r="AP61" s="7">
        <f>(AP17)-(AP60)</f>
        <v>3333.34</v>
      </c>
      <c r="AQ61" s="7">
        <f>(AQ17)-(AQ60)</f>
        <v>-19734.59</v>
      </c>
      <c r="AR61" s="7">
        <f t="shared" si="48"/>
        <v>23067.93</v>
      </c>
      <c r="AS61" s="8">
        <f t="shared" si="49"/>
        <v>-0.16890850025260215</v>
      </c>
      <c r="AT61" s="7">
        <f>(AT17)-(AT60)</f>
        <v>3333.26</v>
      </c>
      <c r="AU61" s="7">
        <f>(AU17)-(AU60)</f>
        <v>-19684.509999999998</v>
      </c>
      <c r="AV61" s="7">
        <f t="shared" si="50"/>
        <v>23017.769999999997</v>
      </c>
      <c r="AW61" s="8">
        <f t="shared" si="51"/>
        <v>-0.16933416173427737</v>
      </c>
      <c r="AX61" s="7">
        <f t="shared" si="52"/>
        <v>-11585.999999999991</v>
      </c>
      <c r="AY61" s="20">
        <f t="shared" si="53"/>
        <v>-50815</v>
      </c>
      <c r="AZ61" s="7">
        <f t="shared" si="54"/>
        <v>39229.000000000007</v>
      </c>
      <c r="BA61" s="8">
        <f t="shared" si="55"/>
        <v>0.22800354226114319</v>
      </c>
    </row>
    <row r="62" spans="1:53" x14ac:dyDescent="0.25">
      <c r="A62" s="3" t="s">
        <v>72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18"/>
      <c r="AZ62" s="4"/>
      <c r="BA62" s="4"/>
    </row>
    <row r="63" spans="1:53" x14ac:dyDescent="0.25">
      <c r="A63" s="3" t="s">
        <v>73</v>
      </c>
      <c r="B63" s="5">
        <f>-3551.16</f>
        <v>-3551.16</v>
      </c>
      <c r="C63" s="4"/>
      <c r="D63" s="5">
        <f t="shared" ref="D63:D70" si="56">(B63)-(C63)</f>
        <v>-3551.16</v>
      </c>
      <c r="E63" s="6" t="str">
        <f t="shared" ref="E63:E70" si="57">IF(C63=0,"",(B63)/(C63))</f>
        <v/>
      </c>
      <c r="F63" s="5">
        <f>52731.66</f>
        <v>52731.66</v>
      </c>
      <c r="G63" s="4"/>
      <c r="H63" s="5">
        <f t="shared" ref="H63:H70" si="58">(F63)-(G63)</f>
        <v>52731.66</v>
      </c>
      <c r="I63" s="6" t="str">
        <f t="shared" ref="I63:I70" si="59">IF(G63=0,"",(F63)/(G63))</f>
        <v/>
      </c>
      <c r="J63" s="5">
        <f>300</f>
        <v>300</v>
      </c>
      <c r="K63" s="4"/>
      <c r="L63" s="5">
        <f t="shared" ref="L63:L70" si="60">(J63)-(K63)</f>
        <v>300</v>
      </c>
      <c r="M63" s="6" t="str">
        <f t="shared" ref="M63:M70" si="61">IF(K63=0,"",(J63)/(K63))</f>
        <v/>
      </c>
      <c r="N63" s="5">
        <f>38024.5</f>
        <v>38024.5</v>
      </c>
      <c r="O63" s="4"/>
      <c r="P63" s="5">
        <f t="shared" ref="P63:P70" si="62">(N63)-(O63)</f>
        <v>38024.5</v>
      </c>
      <c r="Q63" s="6" t="str">
        <f t="shared" ref="Q63:Q70" si="63">IF(O63=0,"",(N63)/(O63))</f>
        <v/>
      </c>
      <c r="R63" s="5">
        <f>171686.59</f>
        <v>171686.59</v>
      </c>
      <c r="S63" s="4"/>
      <c r="T63" s="5">
        <f t="shared" ref="T63:T70" si="64">(R63)-(S63)</f>
        <v>171686.59</v>
      </c>
      <c r="U63" s="6" t="str">
        <f t="shared" ref="U63:U70" si="65">IF(S63=0,"",(R63)/(S63))</f>
        <v/>
      </c>
      <c r="V63" s="5">
        <f>300863.51</f>
        <v>300863.51</v>
      </c>
      <c r="W63" s="4"/>
      <c r="X63" s="5">
        <f t="shared" ref="X63:X70" si="66">(V63)-(W63)</f>
        <v>300863.51</v>
      </c>
      <c r="Y63" s="6" t="str">
        <f t="shared" ref="Y63:Y70" si="67">IF(W63=0,"",(V63)/(W63))</f>
        <v/>
      </c>
      <c r="Z63" s="5">
        <f>38354.12</f>
        <v>38354.120000000003</v>
      </c>
      <c r="AA63" s="4"/>
      <c r="AB63" s="5">
        <f t="shared" ref="AB63:AB70" si="68">(Z63)-(AA63)</f>
        <v>38354.120000000003</v>
      </c>
      <c r="AC63" s="6" t="str">
        <f t="shared" ref="AC63:AC70" si="69">IF(AA63=0,"",(Z63)/(AA63))</f>
        <v/>
      </c>
      <c r="AD63" s="4"/>
      <c r="AE63" s="4"/>
      <c r="AF63" s="5">
        <f t="shared" ref="AF63:AF70" si="70">(AD63)-(AE63)</f>
        <v>0</v>
      </c>
      <c r="AG63" s="6" t="str">
        <f t="shared" ref="AG63:AG70" si="71">IF(AE63=0,"",(AD63)/(AE63))</f>
        <v/>
      </c>
      <c r="AH63" s="4"/>
      <c r="AI63" s="4"/>
      <c r="AJ63" s="5">
        <f t="shared" ref="AJ63:AJ70" si="72">(AH63)-(AI63)</f>
        <v>0</v>
      </c>
      <c r="AK63" s="6" t="str">
        <f t="shared" ref="AK63:AK70" si="73">IF(AI63=0,"",(AH63)/(AI63))</f>
        <v/>
      </c>
      <c r="AL63" s="4"/>
      <c r="AM63" s="4"/>
      <c r="AN63" s="5">
        <f t="shared" ref="AN63:AN70" si="74">(AL63)-(AM63)</f>
        <v>0</v>
      </c>
      <c r="AO63" s="6" t="str">
        <f t="shared" ref="AO63:AO70" si="75">IF(AM63=0,"",(AL63)/(AM63))</f>
        <v/>
      </c>
      <c r="AP63" s="4"/>
      <c r="AQ63" s="4"/>
      <c r="AR63" s="5">
        <f t="shared" ref="AR63:AR70" si="76">(AP63)-(AQ63)</f>
        <v>0</v>
      </c>
      <c r="AS63" s="6" t="str">
        <f t="shared" ref="AS63:AS70" si="77">IF(AQ63=0,"",(AP63)/(AQ63))</f>
        <v/>
      </c>
      <c r="AT63" s="4"/>
      <c r="AU63" s="4"/>
      <c r="AV63" s="5">
        <f t="shared" ref="AV63:AV70" si="78">(AT63)-(AU63)</f>
        <v>0</v>
      </c>
      <c r="AW63" s="6" t="str">
        <f t="shared" ref="AW63:AW70" si="79">IF(AU63=0,"",(AT63)/(AU63))</f>
        <v/>
      </c>
      <c r="AX63" s="5">
        <f t="shared" ref="AX63:AY70" si="80">(((((((((((B63)+(F63))+(J63))+(N63))+(R63))+(V63))+(Z63))+(AD63))+(AH63))+(AL63))+(AP63))+(AT63)</f>
        <v>598409.22</v>
      </c>
      <c r="AY63" s="19">
        <f t="shared" si="80"/>
        <v>0</v>
      </c>
      <c r="AZ63" s="5">
        <f t="shared" ref="AZ63:AZ70" si="81">(AX63)-(AY63)</f>
        <v>598409.22</v>
      </c>
      <c r="BA63" s="6" t="str">
        <f t="shared" ref="BA63:BA70" si="82">IF(AY63=0,"",(AX63)/(AY63))</f>
        <v/>
      </c>
    </row>
    <row r="64" spans="1:53" x14ac:dyDescent="0.25">
      <c r="A64" s="3" t="s">
        <v>74</v>
      </c>
      <c r="B64" s="4"/>
      <c r="C64" s="4"/>
      <c r="D64" s="5">
        <f t="shared" si="56"/>
        <v>0</v>
      </c>
      <c r="E64" s="6" t="str">
        <f t="shared" si="57"/>
        <v/>
      </c>
      <c r="F64" s="4"/>
      <c r="G64" s="4"/>
      <c r="H64" s="5">
        <f t="shared" si="58"/>
        <v>0</v>
      </c>
      <c r="I64" s="6" t="str">
        <f t="shared" si="59"/>
        <v/>
      </c>
      <c r="J64" s="4"/>
      <c r="K64" s="4"/>
      <c r="L64" s="5">
        <f t="shared" si="60"/>
        <v>0</v>
      </c>
      <c r="M64" s="6" t="str">
        <f t="shared" si="61"/>
        <v/>
      </c>
      <c r="N64" s="4"/>
      <c r="O64" s="4"/>
      <c r="P64" s="5">
        <f t="shared" si="62"/>
        <v>0</v>
      </c>
      <c r="Q64" s="6" t="str">
        <f t="shared" si="63"/>
        <v/>
      </c>
      <c r="R64" s="4"/>
      <c r="S64" s="4"/>
      <c r="T64" s="5">
        <f t="shared" si="64"/>
        <v>0</v>
      </c>
      <c r="U64" s="6" t="str">
        <f t="shared" si="65"/>
        <v/>
      </c>
      <c r="V64" s="4"/>
      <c r="W64" s="4"/>
      <c r="X64" s="5">
        <f t="shared" si="66"/>
        <v>0</v>
      </c>
      <c r="Y64" s="6" t="str">
        <f t="shared" si="67"/>
        <v/>
      </c>
      <c r="Z64" s="4"/>
      <c r="AA64" s="4"/>
      <c r="AB64" s="5">
        <f t="shared" si="68"/>
        <v>0</v>
      </c>
      <c r="AC64" s="6" t="str">
        <f t="shared" si="69"/>
        <v/>
      </c>
      <c r="AD64" s="4"/>
      <c r="AE64" s="4"/>
      <c r="AF64" s="5">
        <f t="shared" si="70"/>
        <v>0</v>
      </c>
      <c r="AG64" s="6" t="str">
        <f t="shared" si="71"/>
        <v/>
      </c>
      <c r="AH64" s="4"/>
      <c r="AI64" s="4"/>
      <c r="AJ64" s="5">
        <f t="shared" si="72"/>
        <v>0</v>
      </c>
      <c r="AK64" s="6" t="str">
        <f t="shared" si="73"/>
        <v/>
      </c>
      <c r="AL64" s="4"/>
      <c r="AM64" s="4"/>
      <c r="AN64" s="5">
        <f t="shared" si="74"/>
        <v>0</v>
      </c>
      <c r="AO64" s="6" t="str">
        <f t="shared" si="75"/>
        <v/>
      </c>
      <c r="AP64" s="4"/>
      <c r="AQ64" s="4"/>
      <c r="AR64" s="5">
        <f t="shared" si="76"/>
        <v>0</v>
      </c>
      <c r="AS64" s="6" t="str">
        <f t="shared" si="77"/>
        <v/>
      </c>
      <c r="AT64" s="4"/>
      <c r="AU64" s="4"/>
      <c r="AV64" s="5">
        <f t="shared" si="78"/>
        <v>0</v>
      </c>
      <c r="AW64" s="6" t="str">
        <f t="shared" si="79"/>
        <v/>
      </c>
      <c r="AX64" s="5">
        <f t="shared" si="80"/>
        <v>0</v>
      </c>
      <c r="AY64" s="19">
        <f t="shared" si="80"/>
        <v>0</v>
      </c>
      <c r="AZ64" s="5">
        <f t="shared" si="81"/>
        <v>0</v>
      </c>
      <c r="BA64" s="6" t="str">
        <f t="shared" si="82"/>
        <v/>
      </c>
    </row>
    <row r="65" spans="1:53" x14ac:dyDescent="0.25">
      <c r="A65" s="3" t="s">
        <v>75</v>
      </c>
      <c r="B65" s="5">
        <f>3983.67</f>
        <v>3983.67</v>
      </c>
      <c r="C65" s="4"/>
      <c r="D65" s="5">
        <f t="shared" si="56"/>
        <v>3983.67</v>
      </c>
      <c r="E65" s="6" t="str">
        <f t="shared" si="57"/>
        <v/>
      </c>
      <c r="F65" s="5">
        <f>4028.73</f>
        <v>4028.73</v>
      </c>
      <c r="G65" s="4"/>
      <c r="H65" s="5">
        <f t="shared" si="58"/>
        <v>4028.73</v>
      </c>
      <c r="I65" s="6" t="str">
        <f t="shared" si="59"/>
        <v/>
      </c>
      <c r="J65" s="5">
        <f>39499.18</f>
        <v>39499.18</v>
      </c>
      <c r="K65" s="4"/>
      <c r="L65" s="5">
        <f t="shared" si="60"/>
        <v>39499.18</v>
      </c>
      <c r="M65" s="6" t="str">
        <f t="shared" si="61"/>
        <v/>
      </c>
      <c r="N65" s="5">
        <f>4161.23</f>
        <v>4161.2299999999996</v>
      </c>
      <c r="O65" s="4"/>
      <c r="P65" s="5">
        <f t="shared" si="62"/>
        <v>4161.2299999999996</v>
      </c>
      <c r="Q65" s="6" t="str">
        <f t="shared" si="63"/>
        <v/>
      </c>
      <c r="R65" s="5">
        <f>4547.41</f>
        <v>4547.41</v>
      </c>
      <c r="S65" s="4"/>
      <c r="T65" s="5">
        <f t="shared" si="64"/>
        <v>4547.41</v>
      </c>
      <c r="U65" s="6" t="str">
        <f t="shared" si="65"/>
        <v/>
      </c>
      <c r="V65" s="4"/>
      <c r="W65" s="4"/>
      <c r="X65" s="5">
        <f t="shared" si="66"/>
        <v>0</v>
      </c>
      <c r="Y65" s="6" t="str">
        <f t="shared" si="67"/>
        <v/>
      </c>
      <c r="Z65" s="4"/>
      <c r="AA65" s="4"/>
      <c r="AB65" s="5">
        <f t="shared" si="68"/>
        <v>0</v>
      </c>
      <c r="AC65" s="6" t="str">
        <f t="shared" si="69"/>
        <v/>
      </c>
      <c r="AD65" s="4"/>
      <c r="AE65" s="4"/>
      <c r="AF65" s="5">
        <f t="shared" si="70"/>
        <v>0</v>
      </c>
      <c r="AG65" s="6" t="str">
        <f t="shared" si="71"/>
        <v/>
      </c>
      <c r="AH65" s="4"/>
      <c r="AI65" s="4"/>
      <c r="AJ65" s="5">
        <f t="shared" si="72"/>
        <v>0</v>
      </c>
      <c r="AK65" s="6" t="str">
        <f t="shared" si="73"/>
        <v/>
      </c>
      <c r="AL65" s="4"/>
      <c r="AM65" s="4"/>
      <c r="AN65" s="5">
        <f t="shared" si="74"/>
        <v>0</v>
      </c>
      <c r="AO65" s="6" t="str">
        <f t="shared" si="75"/>
        <v/>
      </c>
      <c r="AP65" s="4"/>
      <c r="AQ65" s="4"/>
      <c r="AR65" s="5">
        <f t="shared" si="76"/>
        <v>0</v>
      </c>
      <c r="AS65" s="6" t="str">
        <f t="shared" si="77"/>
        <v/>
      </c>
      <c r="AT65" s="4"/>
      <c r="AU65" s="4"/>
      <c r="AV65" s="5">
        <f t="shared" si="78"/>
        <v>0</v>
      </c>
      <c r="AW65" s="6" t="str">
        <f t="shared" si="79"/>
        <v/>
      </c>
      <c r="AX65" s="5">
        <f t="shared" si="80"/>
        <v>56220.22</v>
      </c>
      <c r="AY65" s="19">
        <f t="shared" si="80"/>
        <v>0</v>
      </c>
      <c r="AZ65" s="5">
        <f t="shared" si="81"/>
        <v>56220.22</v>
      </c>
      <c r="BA65" s="6" t="str">
        <f t="shared" si="82"/>
        <v/>
      </c>
    </row>
    <row r="66" spans="1:53" x14ac:dyDescent="0.25">
      <c r="A66" s="3" t="s">
        <v>76</v>
      </c>
      <c r="B66" s="5">
        <f>0</f>
        <v>0</v>
      </c>
      <c r="C66" s="4"/>
      <c r="D66" s="5">
        <f t="shared" si="56"/>
        <v>0</v>
      </c>
      <c r="E66" s="6" t="str">
        <f t="shared" si="57"/>
        <v/>
      </c>
      <c r="F66" s="5">
        <f>0</f>
        <v>0</v>
      </c>
      <c r="G66" s="4"/>
      <c r="H66" s="5">
        <f t="shared" si="58"/>
        <v>0</v>
      </c>
      <c r="I66" s="6" t="str">
        <f t="shared" si="59"/>
        <v/>
      </c>
      <c r="J66" s="5">
        <f>0</f>
        <v>0</v>
      </c>
      <c r="K66" s="4"/>
      <c r="L66" s="5">
        <f t="shared" si="60"/>
        <v>0</v>
      </c>
      <c r="M66" s="6" t="str">
        <f t="shared" si="61"/>
        <v/>
      </c>
      <c r="N66" s="5">
        <f>0</f>
        <v>0</v>
      </c>
      <c r="O66" s="4"/>
      <c r="P66" s="5">
        <f t="shared" si="62"/>
        <v>0</v>
      </c>
      <c r="Q66" s="6" t="str">
        <f t="shared" si="63"/>
        <v/>
      </c>
      <c r="R66" s="5">
        <f>0</f>
        <v>0</v>
      </c>
      <c r="S66" s="4"/>
      <c r="T66" s="5">
        <f t="shared" si="64"/>
        <v>0</v>
      </c>
      <c r="U66" s="6" t="str">
        <f t="shared" si="65"/>
        <v/>
      </c>
      <c r="V66" s="4"/>
      <c r="W66" s="4"/>
      <c r="X66" s="5">
        <f t="shared" si="66"/>
        <v>0</v>
      </c>
      <c r="Y66" s="6" t="str">
        <f t="shared" si="67"/>
        <v/>
      </c>
      <c r="Z66" s="4"/>
      <c r="AA66" s="4"/>
      <c r="AB66" s="5">
        <f t="shared" si="68"/>
        <v>0</v>
      </c>
      <c r="AC66" s="6" t="str">
        <f t="shared" si="69"/>
        <v/>
      </c>
      <c r="AD66" s="4"/>
      <c r="AE66" s="4"/>
      <c r="AF66" s="5">
        <f t="shared" si="70"/>
        <v>0</v>
      </c>
      <c r="AG66" s="6" t="str">
        <f t="shared" si="71"/>
        <v/>
      </c>
      <c r="AH66" s="4"/>
      <c r="AI66" s="4"/>
      <c r="AJ66" s="5">
        <f t="shared" si="72"/>
        <v>0</v>
      </c>
      <c r="AK66" s="6" t="str">
        <f t="shared" si="73"/>
        <v/>
      </c>
      <c r="AL66" s="4"/>
      <c r="AM66" s="4"/>
      <c r="AN66" s="5">
        <f t="shared" si="74"/>
        <v>0</v>
      </c>
      <c r="AO66" s="6" t="str">
        <f t="shared" si="75"/>
        <v/>
      </c>
      <c r="AP66" s="4"/>
      <c r="AQ66" s="4"/>
      <c r="AR66" s="5">
        <f t="shared" si="76"/>
        <v>0</v>
      </c>
      <c r="AS66" s="6" t="str">
        <f t="shared" si="77"/>
        <v/>
      </c>
      <c r="AT66" s="4"/>
      <c r="AU66" s="4"/>
      <c r="AV66" s="5">
        <f t="shared" si="78"/>
        <v>0</v>
      </c>
      <c r="AW66" s="6" t="str">
        <f t="shared" si="79"/>
        <v/>
      </c>
      <c r="AX66" s="5">
        <f t="shared" si="80"/>
        <v>0</v>
      </c>
      <c r="AY66" s="19">
        <f t="shared" si="80"/>
        <v>0</v>
      </c>
      <c r="AZ66" s="5">
        <f t="shared" si="81"/>
        <v>0</v>
      </c>
      <c r="BA66" s="6" t="str">
        <f t="shared" si="82"/>
        <v/>
      </c>
    </row>
    <row r="67" spans="1:53" x14ac:dyDescent="0.25">
      <c r="A67" s="3" t="s">
        <v>77</v>
      </c>
      <c r="B67" s="5">
        <f>562017.05</f>
        <v>562017.05000000005</v>
      </c>
      <c r="C67" s="4"/>
      <c r="D67" s="5">
        <f t="shared" si="56"/>
        <v>562017.05000000005</v>
      </c>
      <c r="E67" s="6" t="str">
        <f t="shared" si="57"/>
        <v/>
      </c>
      <c r="F67" s="5">
        <f>-371007.64</f>
        <v>-371007.64</v>
      </c>
      <c r="G67" s="4"/>
      <c r="H67" s="5">
        <f t="shared" si="58"/>
        <v>-371007.64</v>
      </c>
      <c r="I67" s="6" t="str">
        <f t="shared" si="59"/>
        <v/>
      </c>
      <c r="J67" s="5">
        <f>-771221.26</f>
        <v>-771221.26</v>
      </c>
      <c r="K67" s="4"/>
      <c r="L67" s="5">
        <f t="shared" si="60"/>
        <v>-771221.26</v>
      </c>
      <c r="M67" s="6" t="str">
        <f t="shared" si="61"/>
        <v/>
      </c>
      <c r="N67" s="5">
        <f>354024.62</f>
        <v>354024.62</v>
      </c>
      <c r="O67" s="4"/>
      <c r="P67" s="5">
        <f t="shared" si="62"/>
        <v>354024.62</v>
      </c>
      <c r="Q67" s="6" t="str">
        <f t="shared" si="63"/>
        <v/>
      </c>
      <c r="R67" s="5">
        <f>605093.97</f>
        <v>605093.97</v>
      </c>
      <c r="S67" s="4"/>
      <c r="T67" s="5">
        <f t="shared" si="64"/>
        <v>605093.97</v>
      </c>
      <c r="U67" s="6" t="str">
        <f t="shared" si="65"/>
        <v/>
      </c>
      <c r="V67" s="4"/>
      <c r="W67" s="4"/>
      <c r="X67" s="5">
        <f t="shared" si="66"/>
        <v>0</v>
      </c>
      <c r="Y67" s="6" t="str">
        <f t="shared" si="67"/>
        <v/>
      </c>
      <c r="Z67" s="4"/>
      <c r="AA67" s="4"/>
      <c r="AB67" s="5">
        <f t="shared" si="68"/>
        <v>0</v>
      </c>
      <c r="AC67" s="6" t="str">
        <f t="shared" si="69"/>
        <v/>
      </c>
      <c r="AD67" s="4"/>
      <c r="AE67" s="4"/>
      <c r="AF67" s="5">
        <f t="shared" si="70"/>
        <v>0</v>
      </c>
      <c r="AG67" s="6" t="str">
        <f t="shared" si="71"/>
        <v/>
      </c>
      <c r="AH67" s="4"/>
      <c r="AI67" s="4"/>
      <c r="AJ67" s="5">
        <f t="shared" si="72"/>
        <v>0</v>
      </c>
      <c r="AK67" s="6" t="str">
        <f t="shared" si="73"/>
        <v/>
      </c>
      <c r="AL67" s="4"/>
      <c r="AM67" s="4"/>
      <c r="AN67" s="5">
        <f t="shared" si="74"/>
        <v>0</v>
      </c>
      <c r="AO67" s="6" t="str">
        <f t="shared" si="75"/>
        <v/>
      </c>
      <c r="AP67" s="4"/>
      <c r="AQ67" s="4"/>
      <c r="AR67" s="5">
        <f t="shared" si="76"/>
        <v>0</v>
      </c>
      <c r="AS67" s="6" t="str">
        <f t="shared" si="77"/>
        <v/>
      </c>
      <c r="AT67" s="4"/>
      <c r="AU67" s="4"/>
      <c r="AV67" s="5">
        <f t="shared" si="78"/>
        <v>0</v>
      </c>
      <c r="AW67" s="6" t="str">
        <f t="shared" si="79"/>
        <v/>
      </c>
      <c r="AX67" s="5">
        <f t="shared" si="80"/>
        <v>378906.74</v>
      </c>
      <c r="AY67" s="19">
        <f t="shared" si="80"/>
        <v>0</v>
      </c>
      <c r="AZ67" s="5">
        <f t="shared" si="81"/>
        <v>378906.74</v>
      </c>
      <c r="BA67" s="6" t="str">
        <f t="shared" si="82"/>
        <v/>
      </c>
    </row>
    <row r="68" spans="1:53" x14ac:dyDescent="0.25">
      <c r="A68" s="3" t="s">
        <v>78</v>
      </c>
      <c r="B68" s="5">
        <f>0</f>
        <v>0</v>
      </c>
      <c r="C68" s="4"/>
      <c r="D68" s="5">
        <f t="shared" si="56"/>
        <v>0</v>
      </c>
      <c r="E68" s="6" t="str">
        <f t="shared" si="57"/>
        <v/>
      </c>
      <c r="F68" s="5">
        <f>0</f>
        <v>0</v>
      </c>
      <c r="G68" s="4"/>
      <c r="H68" s="5">
        <f t="shared" si="58"/>
        <v>0</v>
      </c>
      <c r="I68" s="6" t="str">
        <f t="shared" si="59"/>
        <v/>
      </c>
      <c r="J68" s="5">
        <f>0</f>
        <v>0</v>
      </c>
      <c r="K68" s="4"/>
      <c r="L68" s="5">
        <f t="shared" si="60"/>
        <v>0</v>
      </c>
      <c r="M68" s="6" t="str">
        <f t="shared" si="61"/>
        <v/>
      </c>
      <c r="N68" s="5">
        <f>-21323.92</f>
        <v>-21323.919999999998</v>
      </c>
      <c r="O68" s="4"/>
      <c r="P68" s="5">
        <f t="shared" si="62"/>
        <v>-21323.919999999998</v>
      </c>
      <c r="Q68" s="6" t="str">
        <f t="shared" si="63"/>
        <v/>
      </c>
      <c r="R68" s="5">
        <f>0</f>
        <v>0</v>
      </c>
      <c r="S68" s="4"/>
      <c r="T68" s="5">
        <f t="shared" si="64"/>
        <v>0</v>
      </c>
      <c r="U68" s="6" t="str">
        <f t="shared" si="65"/>
        <v/>
      </c>
      <c r="V68" s="4"/>
      <c r="W68" s="4"/>
      <c r="X68" s="5">
        <f t="shared" si="66"/>
        <v>0</v>
      </c>
      <c r="Y68" s="6" t="str">
        <f t="shared" si="67"/>
        <v/>
      </c>
      <c r="Z68" s="4"/>
      <c r="AA68" s="4"/>
      <c r="AB68" s="5">
        <f t="shared" si="68"/>
        <v>0</v>
      </c>
      <c r="AC68" s="6" t="str">
        <f t="shared" si="69"/>
        <v/>
      </c>
      <c r="AD68" s="4"/>
      <c r="AE68" s="4"/>
      <c r="AF68" s="5">
        <f t="shared" si="70"/>
        <v>0</v>
      </c>
      <c r="AG68" s="6" t="str">
        <f t="shared" si="71"/>
        <v/>
      </c>
      <c r="AH68" s="4"/>
      <c r="AI68" s="4"/>
      <c r="AJ68" s="5">
        <f t="shared" si="72"/>
        <v>0</v>
      </c>
      <c r="AK68" s="6" t="str">
        <f t="shared" si="73"/>
        <v/>
      </c>
      <c r="AL68" s="4"/>
      <c r="AM68" s="4"/>
      <c r="AN68" s="5">
        <f t="shared" si="74"/>
        <v>0</v>
      </c>
      <c r="AO68" s="6" t="str">
        <f t="shared" si="75"/>
        <v/>
      </c>
      <c r="AP68" s="4"/>
      <c r="AQ68" s="4"/>
      <c r="AR68" s="5">
        <f t="shared" si="76"/>
        <v>0</v>
      </c>
      <c r="AS68" s="6" t="str">
        <f t="shared" si="77"/>
        <v/>
      </c>
      <c r="AT68" s="4"/>
      <c r="AU68" s="4"/>
      <c r="AV68" s="5">
        <f t="shared" si="78"/>
        <v>0</v>
      </c>
      <c r="AW68" s="6" t="str">
        <f t="shared" si="79"/>
        <v/>
      </c>
      <c r="AX68" s="5">
        <f t="shared" si="80"/>
        <v>-21323.919999999998</v>
      </c>
      <c r="AY68" s="19">
        <f t="shared" si="80"/>
        <v>0</v>
      </c>
      <c r="AZ68" s="5">
        <f t="shared" si="81"/>
        <v>-21323.919999999998</v>
      </c>
      <c r="BA68" s="6" t="str">
        <f t="shared" si="82"/>
        <v/>
      </c>
    </row>
    <row r="69" spans="1:53" x14ac:dyDescent="0.25">
      <c r="A69" s="3" t="s">
        <v>79</v>
      </c>
      <c r="B69" s="7">
        <f>((((B64)+(B65))+(B66))+(B67))+(B68)</f>
        <v>566000.72000000009</v>
      </c>
      <c r="C69" s="7">
        <f>((((C64)+(C65))+(C66))+(C67))+(C68)</f>
        <v>0</v>
      </c>
      <c r="D69" s="7">
        <f t="shared" si="56"/>
        <v>566000.72000000009</v>
      </c>
      <c r="E69" s="8" t="str">
        <f t="shared" si="57"/>
        <v/>
      </c>
      <c r="F69" s="7">
        <f>((((F64)+(F65))+(F66))+(F67))+(F68)</f>
        <v>-366978.91000000003</v>
      </c>
      <c r="G69" s="7">
        <f>((((G64)+(G65))+(G66))+(G67))+(G68)</f>
        <v>0</v>
      </c>
      <c r="H69" s="7">
        <f t="shared" si="58"/>
        <v>-366978.91000000003</v>
      </c>
      <c r="I69" s="8" t="str">
        <f t="shared" si="59"/>
        <v/>
      </c>
      <c r="J69" s="7">
        <f>((((J64)+(J65))+(J66))+(J67))+(J68)</f>
        <v>-731722.08</v>
      </c>
      <c r="K69" s="7">
        <f>((((K64)+(K65))+(K66))+(K67))+(K68)</f>
        <v>0</v>
      </c>
      <c r="L69" s="7">
        <f t="shared" si="60"/>
        <v>-731722.08</v>
      </c>
      <c r="M69" s="8" t="str">
        <f t="shared" si="61"/>
        <v/>
      </c>
      <c r="N69" s="7">
        <f>((((N64)+(N65))+(N66))+(N67))+(N68)</f>
        <v>336861.93</v>
      </c>
      <c r="O69" s="7">
        <f>((((O64)+(O65))+(O66))+(O67))+(O68)</f>
        <v>0</v>
      </c>
      <c r="P69" s="7">
        <f t="shared" si="62"/>
        <v>336861.93</v>
      </c>
      <c r="Q69" s="8" t="str">
        <f t="shared" si="63"/>
        <v/>
      </c>
      <c r="R69" s="7">
        <f>((((R64)+(R65))+(R66))+(R67))+(R68)</f>
        <v>609641.38</v>
      </c>
      <c r="S69" s="7">
        <f>((((S64)+(S65))+(S66))+(S67))+(S68)</f>
        <v>0</v>
      </c>
      <c r="T69" s="7">
        <f t="shared" si="64"/>
        <v>609641.38</v>
      </c>
      <c r="U69" s="8" t="str">
        <f t="shared" si="65"/>
        <v/>
      </c>
      <c r="V69" s="7">
        <f>((((V64)+(V65))+(V66))+(V67))+(V68)</f>
        <v>0</v>
      </c>
      <c r="W69" s="7">
        <f>((((W64)+(W65))+(W66))+(W67))+(W68)</f>
        <v>0</v>
      </c>
      <c r="X69" s="7">
        <f t="shared" si="66"/>
        <v>0</v>
      </c>
      <c r="Y69" s="8" t="str">
        <f t="shared" si="67"/>
        <v/>
      </c>
      <c r="Z69" s="7">
        <f>((((Z64)+(Z65))+(Z66))+(Z67))+(Z68)</f>
        <v>0</v>
      </c>
      <c r="AA69" s="7">
        <f>((((AA64)+(AA65))+(AA66))+(AA67))+(AA68)</f>
        <v>0</v>
      </c>
      <c r="AB69" s="7">
        <f t="shared" si="68"/>
        <v>0</v>
      </c>
      <c r="AC69" s="8" t="str">
        <f t="shared" si="69"/>
        <v/>
      </c>
      <c r="AD69" s="7">
        <f>((((AD64)+(AD65))+(AD66))+(AD67))+(AD68)</f>
        <v>0</v>
      </c>
      <c r="AE69" s="7">
        <f>((((AE64)+(AE65))+(AE66))+(AE67))+(AE68)</f>
        <v>0</v>
      </c>
      <c r="AF69" s="7">
        <f t="shared" si="70"/>
        <v>0</v>
      </c>
      <c r="AG69" s="8" t="str">
        <f t="shared" si="71"/>
        <v/>
      </c>
      <c r="AH69" s="7">
        <f>((((AH64)+(AH65))+(AH66))+(AH67))+(AH68)</f>
        <v>0</v>
      </c>
      <c r="AI69" s="7">
        <f>((((AI64)+(AI65))+(AI66))+(AI67))+(AI68)</f>
        <v>0</v>
      </c>
      <c r="AJ69" s="7">
        <f t="shared" si="72"/>
        <v>0</v>
      </c>
      <c r="AK69" s="8" t="str">
        <f t="shared" si="73"/>
        <v/>
      </c>
      <c r="AL69" s="7">
        <f>((((AL64)+(AL65))+(AL66))+(AL67))+(AL68)</f>
        <v>0</v>
      </c>
      <c r="AM69" s="7">
        <f>((((AM64)+(AM65))+(AM66))+(AM67))+(AM68)</f>
        <v>0</v>
      </c>
      <c r="AN69" s="7">
        <f t="shared" si="74"/>
        <v>0</v>
      </c>
      <c r="AO69" s="8" t="str">
        <f t="shared" si="75"/>
        <v/>
      </c>
      <c r="AP69" s="7">
        <f>((((AP64)+(AP65))+(AP66))+(AP67))+(AP68)</f>
        <v>0</v>
      </c>
      <c r="AQ69" s="7">
        <f>((((AQ64)+(AQ65))+(AQ66))+(AQ67))+(AQ68)</f>
        <v>0</v>
      </c>
      <c r="AR69" s="7">
        <f t="shared" si="76"/>
        <v>0</v>
      </c>
      <c r="AS69" s="8" t="str">
        <f t="shared" si="77"/>
        <v/>
      </c>
      <c r="AT69" s="7">
        <f>((((AT64)+(AT65))+(AT66))+(AT67))+(AT68)</f>
        <v>0</v>
      </c>
      <c r="AU69" s="7">
        <f>((((AU64)+(AU65))+(AU66))+(AU67))+(AU68)</f>
        <v>0</v>
      </c>
      <c r="AV69" s="7">
        <f t="shared" si="78"/>
        <v>0</v>
      </c>
      <c r="AW69" s="8" t="str">
        <f t="shared" si="79"/>
        <v/>
      </c>
      <c r="AX69" s="7">
        <f t="shared" si="80"/>
        <v>413803.0400000001</v>
      </c>
      <c r="AY69" s="20">
        <f t="shared" si="80"/>
        <v>0</v>
      </c>
      <c r="AZ69" s="7">
        <f t="shared" si="81"/>
        <v>413803.0400000001</v>
      </c>
      <c r="BA69" s="8" t="str">
        <f t="shared" si="82"/>
        <v/>
      </c>
    </row>
    <row r="70" spans="1:53" x14ac:dyDescent="0.25">
      <c r="A70" s="3" t="s">
        <v>80</v>
      </c>
      <c r="B70" s="7">
        <f>(B63)+(B69)</f>
        <v>562449.56000000006</v>
      </c>
      <c r="C70" s="7">
        <f>(C63)+(C69)</f>
        <v>0</v>
      </c>
      <c r="D70" s="7">
        <f t="shared" si="56"/>
        <v>562449.56000000006</v>
      </c>
      <c r="E70" s="8" t="str">
        <f t="shared" si="57"/>
        <v/>
      </c>
      <c r="F70" s="7">
        <f>(F63)+(F69)</f>
        <v>-314247.25</v>
      </c>
      <c r="G70" s="7">
        <f>(G63)+(G69)</f>
        <v>0</v>
      </c>
      <c r="H70" s="7">
        <f t="shared" si="58"/>
        <v>-314247.25</v>
      </c>
      <c r="I70" s="8" t="str">
        <f t="shared" si="59"/>
        <v/>
      </c>
      <c r="J70" s="7">
        <f>(J63)+(J69)</f>
        <v>-731422.08</v>
      </c>
      <c r="K70" s="7">
        <f>(K63)+(K69)</f>
        <v>0</v>
      </c>
      <c r="L70" s="7">
        <f t="shared" si="60"/>
        <v>-731422.08</v>
      </c>
      <c r="M70" s="8" t="str">
        <f t="shared" si="61"/>
        <v/>
      </c>
      <c r="N70" s="7">
        <f>(N63)+(N69)</f>
        <v>374886.43</v>
      </c>
      <c r="O70" s="7">
        <f>(O63)+(O69)</f>
        <v>0</v>
      </c>
      <c r="P70" s="7">
        <f t="shared" si="62"/>
        <v>374886.43</v>
      </c>
      <c r="Q70" s="8" t="str">
        <f t="shared" si="63"/>
        <v/>
      </c>
      <c r="R70" s="7">
        <f>(R63)+(R69)</f>
        <v>781327.97</v>
      </c>
      <c r="S70" s="7">
        <f>(S63)+(S69)</f>
        <v>0</v>
      </c>
      <c r="T70" s="7">
        <f t="shared" si="64"/>
        <v>781327.97</v>
      </c>
      <c r="U70" s="8" t="str">
        <f t="shared" si="65"/>
        <v/>
      </c>
      <c r="V70" s="7">
        <f>(V63)+(V69)</f>
        <v>300863.51</v>
      </c>
      <c r="W70" s="7">
        <f>(W63)+(W69)</f>
        <v>0</v>
      </c>
      <c r="X70" s="7">
        <f t="shared" si="66"/>
        <v>300863.51</v>
      </c>
      <c r="Y70" s="8" t="str">
        <f t="shared" si="67"/>
        <v/>
      </c>
      <c r="Z70" s="7">
        <f>(Z63)+(Z69)</f>
        <v>38354.120000000003</v>
      </c>
      <c r="AA70" s="7">
        <f>(AA63)+(AA69)</f>
        <v>0</v>
      </c>
      <c r="AB70" s="7">
        <f t="shared" si="68"/>
        <v>38354.120000000003</v>
      </c>
      <c r="AC70" s="8" t="str">
        <f t="shared" si="69"/>
        <v/>
      </c>
      <c r="AD70" s="7">
        <f>(AD63)+(AD69)</f>
        <v>0</v>
      </c>
      <c r="AE70" s="7">
        <f>(AE63)+(AE69)</f>
        <v>0</v>
      </c>
      <c r="AF70" s="7">
        <f t="shared" si="70"/>
        <v>0</v>
      </c>
      <c r="AG70" s="8" t="str">
        <f t="shared" si="71"/>
        <v/>
      </c>
      <c r="AH70" s="7">
        <f>(AH63)+(AH69)</f>
        <v>0</v>
      </c>
      <c r="AI70" s="7">
        <f>(AI63)+(AI69)</f>
        <v>0</v>
      </c>
      <c r="AJ70" s="7">
        <f t="shared" si="72"/>
        <v>0</v>
      </c>
      <c r="AK70" s="8" t="str">
        <f t="shared" si="73"/>
        <v/>
      </c>
      <c r="AL70" s="7">
        <f>(AL63)+(AL69)</f>
        <v>0</v>
      </c>
      <c r="AM70" s="7">
        <f>(AM63)+(AM69)</f>
        <v>0</v>
      </c>
      <c r="AN70" s="7">
        <f t="shared" si="74"/>
        <v>0</v>
      </c>
      <c r="AO70" s="8" t="str">
        <f t="shared" si="75"/>
        <v/>
      </c>
      <c r="AP70" s="7">
        <f>(AP63)+(AP69)</f>
        <v>0</v>
      </c>
      <c r="AQ70" s="7">
        <f>(AQ63)+(AQ69)</f>
        <v>0</v>
      </c>
      <c r="AR70" s="7">
        <f t="shared" si="76"/>
        <v>0</v>
      </c>
      <c r="AS70" s="8" t="str">
        <f t="shared" si="77"/>
        <v/>
      </c>
      <c r="AT70" s="7">
        <f>(AT63)+(AT69)</f>
        <v>0</v>
      </c>
      <c r="AU70" s="7">
        <f>(AU63)+(AU69)</f>
        <v>0</v>
      </c>
      <c r="AV70" s="7">
        <f t="shared" si="78"/>
        <v>0</v>
      </c>
      <c r="AW70" s="8" t="str">
        <f t="shared" si="79"/>
        <v/>
      </c>
      <c r="AX70" s="7">
        <f t="shared" si="80"/>
        <v>1012212.2600000001</v>
      </c>
      <c r="AY70" s="20">
        <f t="shared" si="80"/>
        <v>0</v>
      </c>
      <c r="AZ70" s="7">
        <f t="shared" si="81"/>
        <v>1012212.2600000001</v>
      </c>
      <c r="BA70" s="8" t="str">
        <f t="shared" si="82"/>
        <v/>
      </c>
    </row>
    <row r="71" spans="1:53" x14ac:dyDescent="0.25">
      <c r="A71" s="3" t="s">
        <v>81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18"/>
      <c r="AZ71" s="4"/>
      <c r="BA71" s="4"/>
    </row>
    <row r="72" spans="1:53" x14ac:dyDescent="0.25">
      <c r="A72" s="3" t="s">
        <v>82</v>
      </c>
      <c r="B72" s="5">
        <f>36904</f>
        <v>36904</v>
      </c>
      <c r="C72" s="4"/>
      <c r="D72" s="5">
        <f>(B72)-(C72)</f>
        <v>36904</v>
      </c>
      <c r="E72" s="6" t="str">
        <f>IF(C72=0,"",(B72)/(C72))</f>
        <v/>
      </c>
      <c r="F72" s="5">
        <f>311570.52</f>
        <v>311570.52</v>
      </c>
      <c r="G72" s="4"/>
      <c r="H72" s="5">
        <f>(F72)-(G72)</f>
        <v>311570.52</v>
      </c>
      <c r="I72" s="6" t="str">
        <f>IF(G72=0,"",(F72)/(G72))</f>
        <v/>
      </c>
      <c r="J72" s="5">
        <f>59328.08</f>
        <v>59328.08</v>
      </c>
      <c r="K72" s="4"/>
      <c r="L72" s="5">
        <f>(J72)-(K72)</f>
        <v>59328.08</v>
      </c>
      <c r="M72" s="6" t="str">
        <f>IF(K72=0,"",(J72)/(K72))</f>
        <v/>
      </c>
      <c r="N72" s="5">
        <f>40765.27</f>
        <v>40765.269999999997</v>
      </c>
      <c r="O72" s="4"/>
      <c r="P72" s="5">
        <f>(N72)-(O72)</f>
        <v>40765.269999999997</v>
      </c>
      <c r="Q72" s="6" t="str">
        <f>IF(O72=0,"",(N72)/(O72))</f>
        <v/>
      </c>
      <c r="R72" s="5">
        <f>69271</f>
        <v>69271</v>
      </c>
      <c r="S72" s="4"/>
      <c r="T72" s="5">
        <f>(R72)-(S72)</f>
        <v>69271</v>
      </c>
      <c r="U72" s="6" t="str">
        <f>IF(S72=0,"",(R72)/(S72))</f>
        <v/>
      </c>
      <c r="V72" s="5">
        <f>-20000</f>
        <v>-20000</v>
      </c>
      <c r="W72" s="4"/>
      <c r="X72" s="5">
        <f>(V72)-(W72)</f>
        <v>-20000</v>
      </c>
      <c r="Y72" s="6" t="str">
        <f>IF(W72=0,"",(V72)/(W72))</f>
        <v/>
      </c>
      <c r="Z72" s="5">
        <f>-10000</f>
        <v>-10000</v>
      </c>
      <c r="AA72" s="4"/>
      <c r="AB72" s="5">
        <f>(Z72)-(AA72)</f>
        <v>-10000</v>
      </c>
      <c r="AC72" s="6" t="str">
        <f>IF(AA72=0,"",(Z72)/(AA72))</f>
        <v/>
      </c>
      <c r="AD72" s="4"/>
      <c r="AE72" s="4"/>
      <c r="AF72" s="5">
        <f>(AD72)-(AE72)</f>
        <v>0</v>
      </c>
      <c r="AG72" s="6" t="str">
        <f>IF(AE72=0,"",(AD72)/(AE72))</f>
        <v/>
      </c>
      <c r="AH72" s="4"/>
      <c r="AI72" s="4"/>
      <c r="AJ72" s="5">
        <f>(AH72)-(AI72)</f>
        <v>0</v>
      </c>
      <c r="AK72" s="6" t="str">
        <f>IF(AI72=0,"",(AH72)/(AI72))</f>
        <v/>
      </c>
      <c r="AL72" s="4"/>
      <c r="AM72" s="4"/>
      <c r="AN72" s="5">
        <f>(AL72)-(AM72)</f>
        <v>0</v>
      </c>
      <c r="AO72" s="6" t="str">
        <f>IF(AM72=0,"",(AL72)/(AM72))</f>
        <v/>
      </c>
      <c r="AP72" s="4"/>
      <c r="AQ72" s="4"/>
      <c r="AR72" s="5">
        <f>(AP72)-(AQ72)</f>
        <v>0</v>
      </c>
      <c r="AS72" s="6" t="str">
        <f>IF(AQ72=0,"",(AP72)/(AQ72))</f>
        <v/>
      </c>
      <c r="AT72" s="4"/>
      <c r="AU72" s="4"/>
      <c r="AV72" s="5">
        <f>(AT72)-(AU72)</f>
        <v>0</v>
      </c>
      <c r="AW72" s="6" t="str">
        <f>IF(AU72=0,"",(AT72)/(AU72))</f>
        <v/>
      </c>
      <c r="AX72" s="5">
        <f t="shared" ref="AX72:AY75" si="83">(((((((((((B72)+(F72))+(J72))+(N72))+(R72))+(V72))+(Z72))+(AD72))+(AH72))+(AL72))+(AP72))+(AT72)</f>
        <v>487838.87000000005</v>
      </c>
      <c r="AY72" s="19">
        <f t="shared" si="83"/>
        <v>0</v>
      </c>
      <c r="AZ72" s="5">
        <f>(AX72)-(AY72)</f>
        <v>487838.87000000005</v>
      </c>
      <c r="BA72" s="6" t="str">
        <f>IF(AY72=0,"",(AX72)/(AY72))</f>
        <v/>
      </c>
    </row>
    <row r="73" spans="1:53" x14ac:dyDescent="0.25">
      <c r="A73" s="3" t="s">
        <v>83</v>
      </c>
      <c r="B73" s="7">
        <f>B72</f>
        <v>36904</v>
      </c>
      <c r="C73" s="7">
        <f>C72</f>
        <v>0</v>
      </c>
      <c r="D73" s="7">
        <f>(B73)-(C73)</f>
        <v>36904</v>
      </c>
      <c r="E73" s="8" t="str">
        <f>IF(C73=0,"",(B73)/(C73))</f>
        <v/>
      </c>
      <c r="F73" s="7">
        <f>F72</f>
        <v>311570.52</v>
      </c>
      <c r="G73" s="7">
        <f>G72</f>
        <v>0</v>
      </c>
      <c r="H73" s="7">
        <f>(F73)-(G73)</f>
        <v>311570.52</v>
      </c>
      <c r="I73" s="8" t="str">
        <f>IF(G73=0,"",(F73)/(G73))</f>
        <v/>
      </c>
      <c r="J73" s="7">
        <f>J72</f>
        <v>59328.08</v>
      </c>
      <c r="K73" s="7">
        <f>K72</f>
        <v>0</v>
      </c>
      <c r="L73" s="7">
        <f>(J73)-(K73)</f>
        <v>59328.08</v>
      </c>
      <c r="M73" s="8" t="str">
        <f>IF(K73=0,"",(J73)/(K73))</f>
        <v/>
      </c>
      <c r="N73" s="7">
        <f>N72</f>
        <v>40765.269999999997</v>
      </c>
      <c r="O73" s="7">
        <f>O72</f>
        <v>0</v>
      </c>
      <c r="P73" s="7">
        <f>(N73)-(O73)</f>
        <v>40765.269999999997</v>
      </c>
      <c r="Q73" s="8" t="str">
        <f>IF(O73=0,"",(N73)/(O73))</f>
        <v/>
      </c>
      <c r="R73" s="7">
        <f>R72</f>
        <v>69271</v>
      </c>
      <c r="S73" s="7">
        <f>S72</f>
        <v>0</v>
      </c>
      <c r="T73" s="7">
        <f>(R73)-(S73)</f>
        <v>69271</v>
      </c>
      <c r="U73" s="8" t="str">
        <f>IF(S73=0,"",(R73)/(S73))</f>
        <v/>
      </c>
      <c r="V73" s="7">
        <f>V72</f>
        <v>-20000</v>
      </c>
      <c r="W73" s="7">
        <f>W72</f>
        <v>0</v>
      </c>
      <c r="X73" s="7">
        <f>(V73)-(W73)</f>
        <v>-20000</v>
      </c>
      <c r="Y73" s="8" t="str">
        <f>IF(W73=0,"",(V73)/(W73))</f>
        <v/>
      </c>
      <c r="Z73" s="7">
        <f>Z72</f>
        <v>-10000</v>
      </c>
      <c r="AA73" s="7">
        <f>AA72</f>
        <v>0</v>
      </c>
      <c r="AB73" s="7">
        <f>(Z73)-(AA73)</f>
        <v>-10000</v>
      </c>
      <c r="AC73" s="8" t="str">
        <f>IF(AA73=0,"",(Z73)/(AA73))</f>
        <v/>
      </c>
      <c r="AD73" s="7">
        <f>AD72</f>
        <v>0</v>
      </c>
      <c r="AE73" s="7">
        <f>AE72</f>
        <v>0</v>
      </c>
      <c r="AF73" s="7">
        <f>(AD73)-(AE73)</f>
        <v>0</v>
      </c>
      <c r="AG73" s="8" t="str">
        <f>IF(AE73=0,"",(AD73)/(AE73))</f>
        <v/>
      </c>
      <c r="AH73" s="7">
        <f>AH72</f>
        <v>0</v>
      </c>
      <c r="AI73" s="7">
        <f>AI72</f>
        <v>0</v>
      </c>
      <c r="AJ73" s="7">
        <f>(AH73)-(AI73)</f>
        <v>0</v>
      </c>
      <c r="AK73" s="8" t="str">
        <f>IF(AI73=0,"",(AH73)/(AI73))</f>
        <v/>
      </c>
      <c r="AL73" s="7">
        <f>AL72</f>
        <v>0</v>
      </c>
      <c r="AM73" s="7">
        <f>AM72</f>
        <v>0</v>
      </c>
      <c r="AN73" s="7">
        <f>(AL73)-(AM73)</f>
        <v>0</v>
      </c>
      <c r="AO73" s="8" t="str">
        <f>IF(AM73=0,"",(AL73)/(AM73))</f>
        <v/>
      </c>
      <c r="AP73" s="7">
        <f>AP72</f>
        <v>0</v>
      </c>
      <c r="AQ73" s="7">
        <f>AQ72</f>
        <v>0</v>
      </c>
      <c r="AR73" s="7">
        <f>(AP73)-(AQ73)</f>
        <v>0</v>
      </c>
      <c r="AS73" s="8" t="str">
        <f>IF(AQ73=0,"",(AP73)/(AQ73))</f>
        <v/>
      </c>
      <c r="AT73" s="7">
        <f>AT72</f>
        <v>0</v>
      </c>
      <c r="AU73" s="7">
        <f>AU72</f>
        <v>0</v>
      </c>
      <c r="AV73" s="7">
        <f>(AT73)-(AU73)</f>
        <v>0</v>
      </c>
      <c r="AW73" s="8" t="str">
        <f>IF(AU73=0,"",(AT73)/(AU73))</f>
        <v/>
      </c>
      <c r="AX73" s="7">
        <f t="shared" si="83"/>
        <v>487838.87000000005</v>
      </c>
      <c r="AY73" s="20">
        <f t="shared" si="83"/>
        <v>0</v>
      </c>
      <c r="AZ73" s="7">
        <f>(AX73)-(AY73)</f>
        <v>487838.87000000005</v>
      </c>
      <c r="BA73" s="8" t="str">
        <f>IF(AY73=0,"",(AX73)/(AY73))</f>
        <v/>
      </c>
    </row>
    <row r="74" spans="1:53" x14ac:dyDescent="0.25">
      <c r="A74" s="3" t="s">
        <v>84</v>
      </c>
      <c r="B74" s="7">
        <f>(B70)-(B73)</f>
        <v>525545.56000000006</v>
      </c>
      <c r="C74" s="7">
        <f>(C70)-(C73)</f>
        <v>0</v>
      </c>
      <c r="D74" s="7">
        <f>(B74)-(C74)</f>
        <v>525545.56000000006</v>
      </c>
      <c r="E74" s="8" t="str">
        <f>IF(C74=0,"",(B74)/(C74))</f>
        <v/>
      </c>
      <c r="F74" s="7">
        <f>(F70)-(F73)</f>
        <v>-625817.77</v>
      </c>
      <c r="G74" s="7">
        <f>(G70)-(G73)</f>
        <v>0</v>
      </c>
      <c r="H74" s="7">
        <f>(F74)-(G74)</f>
        <v>-625817.77</v>
      </c>
      <c r="I74" s="8" t="str">
        <f>IF(G74=0,"",(F74)/(G74))</f>
        <v/>
      </c>
      <c r="J74" s="7">
        <f>(J70)-(J73)</f>
        <v>-790750.15999999992</v>
      </c>
      <c r="K74" s="7">
        <f>(K70)-(K73)</f>
        <v>0</v>
      </c>
      <c r="L74" s="7">
        <f>(J74)-(K74)</f>
        <v>-790750.15999999992</v>
      </c>
      <c r="M74" s="8" t="str">
        <f>IF(K74=0,"",(J74)/(K74))</f>
        <v/>
      </c>
      <c r="N74" s="7">
        <f>(N70)-(N73)</f>
        <v>334121.15999999997</v>
      </c>
      <c r="O74" s="7">
        <f>(O70)-(O73)</f>
        <v>0</v>
      </c>
      <c r="P74" s="7">
        <f>(N74)-(O74)</f>
        <v>334121.15999999997</v>
      </c>
      <c r="Q74" s="8" t="str">
        <f>IF(O74=0,"",(N74)/(O74))</f>
        <v/>
      </c>
      <c r="R74" s="7">
        <f>(R70)-(R73)</f>
        <v>712056.97</v>
      </c>
      <c r="S74" s="7">
        <f>(S70)-(S73)</f>
        <v>0</v>
      </c>
      <c r="T74" s="7">
        <f>(R74)-(S74)</f>
        <v>712056.97</v>
      </c>
      <c r="U74" s="8" t="str">
        <f>IF(S74=0,"",(R74)/(S74))</f>
        <v/>
      </c>
      <c r="V74" s="7">
        <f>(V70)-(V73)</f>
        <v>320863.51</v>
      </c>
      <c r="W74" s="7">
        <f>(W70)-(W73)</f>
        <v>0</v>
      </c>
      <c r="X74" s="7">
        <f>(V74)-(W74)</f>
        <v>320863.51</v>
      </c>
      <c r="Y74" s="8" t="str">
        <f>IF(W74=0,"",(V74)/(W74))</f>
        <v/>
      </c>
      <c r="Z74" s="7">
        <f>(Z70)-(Z73)</f>
        <v>48354.12</v>
      </c>
      <c r="AA74" s="7">
        <f>(AA70)-(AA73)</f>
        <v>0</v>
      </c>
      <c r="AB74" s="7">
        <f>(Z74)-(AA74)</f>
        <v>48354.12</v>
      </c>
      <c r="AC74" s="8" t="str">
        <f>IF(AA74=0,"",(Z74)/(AA74))</f>
        <v/>
      </c>
      <c r="AD74" s="7">
        <f>(AD70)-(AD73)</f>
        <v>0</v>
      </c>
      <c r="AE74" s="7">
        <f>(AE70)-(AE73)</f>
        <v>0</v>
      </c>
      <c r="AF74" s="7">
        <f>(AD74)-(AE74)</f>
        <v>0</v>
      </c>
      <c r="AG74" s="8" t="str">
        <f>IF(AE74=0,"",(AD74)/(AE74))</f>
        <v/>
      </c>
      <c r="AH74" s="7">
        <f>(AH70)-(AH73)</f>
        <v>0</v>
      </c>
      <c r="AI74" s="7">
        <f>(AI70)-(AI73)</f>
        <v>0</v>
      </c>
      <c r="AJ74" s="7">
        <f>(AH74)-(AI74)</f>
        <v>0</v>
      </c>
      <c r="AK74" s="8" t="str">
        <f>IF(AI74=0,"",(AH74)/(AI74))</f>
        <v/>
      </c>
      <c r="AL74" s="7">
        <f>(AL70)-(AL73)</f>
        <v>0</v>
      </c>
      <c r="AM74" s="7">
        <f>(AM70)-(AM73)</f>
        <v>0</v>
      </c>
      <c r="AN74" s="7">
        <f>(AL74)-(AM74)</f>
        <v>0</v>
      </c>
      <c r="AO74" s="8" t="str">
        <f>IF(AM74=0,"",(AL74)/(AM74))</f>
        <v/>
      </c>
      <c r="AP74" s="7">
        <f>(AP70)-(AP73)</f>
        <v>0</v>
      </c>
      <c r="AQ74" s="7">
        <f>(AQ70)-(AQ73)</f>
        <v>0</v>
      </c>
      <c r="AR74" s="7">
        <f>(AP74)-(AQ74)</f>
        <v>0</v>
      </c>
      <c r="AS74" s="8" t="str">
        <f>IF(AQ74=0,"",(AP74)/(AQ74))</f>
        <v/>
      </c>
      <c r="AT74" s="7">
        <f>(AT70)-(AT73)</f>
        <v>0</v>
      </c>
      <c r="AU74" s="7">
        <f>(AU70)-(AU73)</f>
        <v>0</v>
      </c>
      <c r="AV74" s="7">
        <f>(AT74)-(AU74)</f>
        <v>0</v>
      </c>
      <c r="AW74" s="8" t="str">
        <f>IF(AU74=0,"",(AT74)/(AU74))</f>
        <v/>
      </c>
      <c r="AX74" s="7">
        <f t="shared" si="83"/>
        <v>524373.39</v>
      </c>
      <c r="AY74" s="20">
        <f t="shared" si="83"/>
        <v>0</v>
      </c>
      <c r="AZ74" s="7">
        <f>(AX74)-(AY74)</f>
        <v>524373.39</v>
      </c>
      <c r="BA74" s="8" t="str">
        <f>IF(AY74=0,"",(AX74)/(AY74))</f>
        <v/>
      </c>
    </row>
    <row r="75" spans="1:53" x14ac:dyDescent="0.25">
      <c r="A75" s="3" t="s">
        <v>85</v>
      </c>
      <c r="B75" s="9">
        <f>(B61)+(B74)</f>
        <v>509434.78</v>
      </c>
      <c r="C75" s="9">
        <f>(C61)+(C74)</f>
        <v>-16584.59</v>
      </c>
      <c r="D75" s="9">
        <f>(B75)-(C75)</f>
        <v>526019.37</v>
      </c>
      <c r="E75" s="10">
        <f>IF(C75=0,"",(B75)/(C75))</f>
        <v>-30.717357498738288</v>
      </c>
      <c r="F75" s="9">
        <f>(F61)+(F74)</f>
        <v>-611754.58000000007</v>
      </c>
      <c r="G75" s="9">
        <f>(G61)+(G74)</f>
        <v>25965.41</v>
      </c>
      <c r="H75" s="9">
        <f>(F75)-(G75)</f>
        <v>-637719.99000000011</v>
      </c>
      <c r="I75" s="10">
        <f>IF(G75=0,"",(F75)/(G75))</f>
        <v>-23.560366657025639</v>
      </c>
      <c r="J75" s="9">
        <f>(J61)+(J74)</f>
        <v>-798662.49999999988</v>
      </c>
      <c r="K75" s="9">
        <f>(K61)+(K74)</f>
        <v>-17884.59</v>
      </c>
      <c r="L75" s="9">
        <f>(J75)-(K75)</f>
        <v>-780777.90999999992</v>
      </c>
      <c r="M75" s="10">
        <f>IF(K75=0,"",(J75)/(K75))</f>
        <v>44.656461232826686</v>
      </c>
      <c r="N75" s="9">
        <f>(N61)+(N74)</f>
        <v>345994.25999999995</v>
      </c>
      <c r="O75" s="9">
        <f>(O61)+(O74)</f>
        <v>22415.41</v>
      </c>
      <c r="P75" s="9">
        <f>(N75)-(O75)</f>
        <v>323578.84999999998</v>
      </c>
      <c r="Q75" s="10">
        <f>IF(O75=0,"",(N75)/(O75))</f>
        <v>15.435553487533797</v>
      </c>
      <c r="R75" s="9">
        <f>(R61)+(R74)</f>
        <v>691866.40999999992</v>
      </c>
      <c r="S75" s="9">
        <f>(S61)+(S74)</f>
        <v>-23184.59</v>
      </c>
      <c r="T75" s="9">
        <f>(R75)-(S75)</f>
        <v>715050.99999999988</v>
      </c>
      <c r="U75" s="10">
        <f>IF(S75=0,"",(R75)/(S75))</f>
        <v>-29.841649561195602</v>
      </c>
      <c r="V75" s="9">
        <f>(V61)+(V74)</f>
        <v>305781.46000000002</v>
      </c>
      <c r="W75" s="9">
        <f>(W61)+(W74)</f>
        <v>3115.4100000000035</v>
      </c>
      <c r="X75" s="9">
        <f>(V75)-(W75)</f>
        <v>302666.05000000005</v>
      </c>
      <c r="Y75" s="10">
        <f>IF(W75=0,"",(V75)/(W75))</f>
        <v>98.151273829126723</v>
      </c>
      <c r="Z75" s="9">
        <f>(Z61)+(Z74)</f>
        <v>31439.88</v>
      </c>
      <c r="AA75" s="9">
        <f>(AA61)+(AA74)</f>
        <v>17665.41</v>
      </c>
      <c r="AB75" s="9">
        <f>(Z75)-(AA75)</f>
        <v>13774.470000000001</v>
      </c>
      <c r="AC75" s="10">
        <f>IF(AA75=0,"",(Z75)/(AA75))</f>
        <v>1.7797424458305808</v>
      </c>
      <c r="AD75" s="9">
        <f>(AD61)+(AD74)</f>
        <v>25983.4</v>
      </c>
      <c r="AE75" s="9">
        <f>(AE61)+(AE74)</f>
        <v>-20684.59</v>
      </c>
      <c r="AF75" s="9">
        <f>(AD75)-(AE75)</f>
        <v>46667.990000000005</v>
      </c>
      <c r="AG75" s="10">
        <f>IF(AE75=0,"",(AD75)/(AE75))</f>
        <v>-1.2561718651421179</v>
      </c>
      <c r="AH75" s="9">
        <f>(AH61)+(AH74)</f>
        <v>2704.34</v>
      </c>
      <c r="AI75" s="9">
        <f>(AI61)+(AI74)</f>
        <v>-21584.59</v>
      </c>
      <c r="AJ75" s="9">
        <f>(AH75)-(AI75)</f>
        <v>24288.93</v>
      </c>
      <c r="AK75" s="10">
        <f>IF(AI75=0,"",(AH75)/(AI75))</f>
        <v>-0.12529031128226203</v>
      </c>
      <c r="AL75" s="9">
        <f>(AL61)+(AL74)</f>
        <v>3333.34</v>
      </c>
      <c r="AM75" s="9">
        <f>(AM61)+(AM74)</f>
        <v>19365.41</v>
      </c>
      <c r="AN75" s="9">
        <f>(AL75)-(AM75)</f>
        <v>-16032.07</v>
      </c>
      <c r="AO75" s="10">
        <f>IF(AM75=0,"",(AL75)/(AM75))</f>
        <v>0.17212855291987106</v>
      </c>
      <c r="AP75" s="9">
        <f>(AP61)+(AP74)</f>
        <v>3333.34</v>
      </c>
      <c r="AQ75" s="9">
        <f>(AQ61)+(AQ74)</f>
        <v>-19734.59</v>
      </c>
      <c r="AR75" s="9">
        <f>(AP75)-(AQ75)</f>
        <v>23067.93</v>
      </c>
      <c r="AS75" s="10">
        <f>IF(AQ75=0,"",(AP75)/(AQ75))</f>
        <v>-0.16890850025260215</v>
      </c>
      <c r="AT75" s="9">
        <f>(AT61)+(AT74)</f>
        <v>3333.26</v>
      </c>
      <c r="AU75" s="9">
        <f>(AU61)+(AU74)</f>
        <v>-19684.509999999998</v>
      </c>
      <c r="AV75" s="9">
        <f>(AT75)-(AU75)</f>
        <v>23017.769999999997</v>
      </c>
      <c r="AW75" s="10">
        <f>IF(AU75=0,"",(AT75)/(AU75))</f>
        <v>-0.16933416173427737</v>
      </c>
      <c r="AX75" s="9">
        <f t="shared" si="83"/>
        <v>512787.39</v>
      </c>
      <c r="AY75" s="21">
        <f t="shared" si="83"/>
        <v>-50815</v>
      </c>
      <c r="AZ75" s="9">
        <f>(AX75)-(AY75)</f>
        <v>563602.39</v>
      </c>
      <c r="BA75" s="10">
        <f>IF(AY75=0,"",(AX75)/(AY75))</f>
        <v>-10.091260257797895</v>
      </c>
    </row>
    <row r="76" spans="1:53" x14ac:dyDescent="0.25">
      <c r="A76" s="3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18"/>
      <c r="AZ76" s="4"/>
      <c r="BA76" s="4"/>
    </row>
    <row r="79" spans="1:53" x14ac:dyDescent="0.25">
      <c r="A79" s="13" t="s">
        <v>86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</row>
  </sheetData>
  <mergeCells count="17">
    <mergeCell ref="AP5:AS5"/>
    <mergeCell ref="AT5:AW5"/>
    <mergeCell ref="AX5:BA5"/>
    <mergeCell ref="A79:BA79"/>
    <mergeCell ref="A1:BA1"/>
    <mergeCell ref="A2:BA2"/>
    <mergeCell ref="A3:BA3"/>
    <mergeCell ref="V5:Y5"/>
    <mergeCell ref="Z5:AC5"/>
    <mergeCell ref="AD5:AG5"/>
    <mergeCell ref="AH5:AK5"/>
    <mergeCell ref="AL5:AO5"/>
    <mergeCell ref="B5:E5"/>
    <mergeCell ref="F5:I5"/>
    <mergeCell ref="J5:M5"/>
    <mergeCell ref="N5:Q5"/>
    <mergeCell ref="R5:U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4E36C724E56041AD41E340EF8BC4A6" ma:contentTypeVersion="16" ma:contentTypeDescription="Create a new document." ma:contentTypeScope="" ma:versionID="dc34472e50683122fb1dcccb4fec0486">
  <xsd:schema xmlns:xsd="http://www.w3.org/2001/XMLSchema" xmlns:xs="http://www.w3.org/2001/XMLSchema" xmlns:p="http://schemas.microsoft.com/office/2006/metadata/properties" xmlns:ns2="8d9db891-9a93-4d8f-b316-53a9f4a8df72" xmlns:ns3="f93fbb25-3d89-4e16-a786-6d19e436c58f" targetNamespace="http://schemas.microsoft.com/office/2006/metadata/properties" ma:root="true" ma:fieldsID="bae6a76b2dbf067eb4f5c76b9141abef" ns2:_="" ns3:_="">
    <xsd:import namespace="8d9db891-9a93-4d8f-b316-53a9f4a8df72"/>
    <xsd:import namespace="f93fbb25-3d89-4e16-a786-6d19e436c5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9db891-9a93-4d8f-b316-53a9f4a8df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11c0c85a-fd33-4616-9e22-b9090b48211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3fbb25-3d89-4e16-a786-6d19e436c58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ba4d8db-7a85-4fc9-b2c2-d70464f7a73e}" ma:internalName="TaxCatchAll" ma:showField="CatchAllData" ma:web="f93fbb25-3d89-4e16-a786-6d19e436c58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B0997C5-98E4-4371-AE06-AC06D5A87E20}"/>
</file>

<file path=customXml/itemProps2.xml><?xml version="1.0" encoding="utf-8"?>
<ds:datastoreItem xmlns:ds="http://schemas.openxmlformats.org/officeDocument/2006/customXml" ds:itemID="{6C90BF18-8696-4FE7-AEEF-90AAA0777A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vs. Actuals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Joyce Kalstein</cp:lastModifiedBy>
  <dcterms:created xsi:type="dcterms:W3CDTF">2023-03-21T21:04:22Z</dcterms:created>
  <dcterms:modified xsi:type="dcterms:W3CDTF">2023-03-21T21:10:15Z</dcterms:modified>
</cp:coreProperties>
</file>