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3\2023.02.28 Feb operations w Feb investments Mar BD meeting\"/>
    </mc:Choice>
  </mc:AlternateContent>
  <xr:revisionPtr revIDLastSave="0" documentId="13_ncr:1_{0E01B8AC-8EFE-4C52-A999-C60600322096}" xr6:coauthVersionLast="47" xr6:coauthVersionMax="47" xr10:uidLastSave="{00000000-0000-0000-0000-000000000000}"/>
  <bookViews>
    <workbookView xWindow="13550" yWindow="-110" windowWidth="19420" windowHeight="10420" firstSheet="1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&amp;L Spend" sheetId="8" r:id="rId5"/>
    <sheet name="A P Aging Summary" sheetId="4" r:id="rId6"/>
    <sheet name="AR Aging" sheetId="9" r:id="rId7"/>
    <sheet name="Budget vs. Actuals w budget 2" sheetId="7" r:id="rId8"/>
  </sheets>
  <externalReferences>
    <externalReference r:id="rId9"/>
    <externalReference r:id="rId10"/>
  </externalReferences>
  <definedNames>
    <definedName name="_xlnm.Print_Area" localSheetId="3">'Budget vs. Actuals'!#REF!</definedName>
    <definedName name="_xlnm.Print_Area" localSheetId="7">'Budget vs. Actuals w budget 2'!$AM$7:$AN$30</definedName>
    <definedName name="_xlnm.Print_Titles" localSheetId="3">'Budget vs. Actuals'!$A:$E,'Budget vs. Actuals'!$4:$6</definedName>
    <definedName name="_xlnm.Print_Titles" localSheetId="7">'Budget vs. Actuals w budget 2'!$A:$E,'Budget vs. Actuals w budget 2'!$4:$6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6" l="1"/>
  <c r="O14" i="6"/>
  <c r="O13" i="6"/>
  <c r="O12" i="6"/>
  <c r="B7" i="9"/>
  <c r="F6" i="9"/>
  <c r="F7" i="9" s="1"/>
  <c r="E6" i="9"/>
  <c r="E7" i="9" s="1"/>
  <c r="D6" i="9"/>
  <c r="D7" i="9" s="1"/>
  <c r="C6" i="9"/>
  <c r="C7" i="9" s="1"/>
  <c r="B6" i="9"/>
  <c r="E10" i="4"/>
  <c r="C10" i="4"/>
  <c r="B9" i="4"/>
  <c r="G9" i="4" s="1"/>
  <c r="B8" i="4"/>
  <c r="G8" i="4" s="1"/>
  <c r="G7" i="4"/>
  <c r="D7" i="4"/>
  <c r="D10" i="4" s="1"/>
  <c r="G6" i="4"/>
  <c r="F6" i="4"/>
  <c r="F10" i="4" s="1"/>
  <c r="I65" i="8"/>
  <c r="H65" i="8"/>
  <c r="G65" i="8"/>
  <c r="E65" i="8"/>
  <c r="B65" i="8"/>
  <c r="F64" i="8"/>
  <c r="F65" i="8" s="1"/>
  <c r="J65" i="8" s="1"/>
  <c r="E64" i="8"/>
  <c r="D64" i="8"/>
  <c r="D65" i="8" s="1"/>
  <c r="C64" i="8"/>
  <c r="C65" i="8" s="1"/>
  <c r="H62" i="8"/>
  <c r="H66" i="8" s="1"/>
  <c r="G62" i="8"/>
  <c r="G66" i="8" s="1"/>
  <c r="I61" i="8"/>
  <c r="I62" i="8" s="1"/>
  <c r="I66" i="8" s="1"/>
  <c r="H61" i="8"/>
  <c r="G61" i="8"/>
  <c r="B61" i="8"/>
  <c r="B62" i="8" s="1"/>
  <c r="F60" i="8"/>
  <c r="J60" i="8" s="1"/>
  <c r="K60" i="8" s="1"/>
  <c r="E60" i="8"/>
  <c r="D60" i="8"/>
  <c r="C60" i="8"/>
  <c r="F59" i="8"/>
  <c r="J59" i="8" s="1"/>
  <c r="E59" i="8"/>
  <c r="D59" i="8"/>
  <c r="K59" i="8" s="1"/>
  <c r="C59" i="8"/>
  <c r="J58" i="8"/>
  <c r="F58" i="8"/>
  <c r="E58" i="8"/>
  <c r="D58" i="8"/>
  <c r="D61" i="8" s="1"/>
  <c r="C58" i="8"/>
  <c r="K58" i="8" s="1"/>
  <c r="F57" i="8"/>
  <c r="F61" i="8" s="1"/>
  <c r="J61" i="8" s="1"/>
  <c r="E57" i="8"/>
  <c r="E61" i="8" s="1"/>
  <c r="D57" i="8"/>
  <c r="C57" i="8"/>
  <c r="K56" i="8"/>
  <c r="J56" i="8"/>
  <c r="F55" i="8"/>
  <c r="F62" i="8" s="1"/>
  <c r="E55" i="8"/>
  <c r="D55" i="8"/>
  <c r="C55" i="8"/>
  <c r="J51" i="8"/>
  <c r="K51" i="8" s="1"/>
  <c r="I51" i="8"/>
  <c r="J50" i="8"/>
  <c r="I50" i="8"/>
  <c r="H50" i="8"/>
  <c r="G50" i="8"/>
  <c r="F50" i="8"/>
  <c r="E50" i="8"/>
  <c r="D50" i="8"/>
  <c r="C50" i="8"/>
  <c r="B50" i="8"/>
  <c r="K50" i="8" s="1"/>
  <c r="J49" i="8"/>
  <c r="K49" i="8" s="1"/>
  <c r="B49" i="8"/>
  <c r="J48" i="8"/>
  <c r="K48" i="8" s="1"/>
  <c r="B48" i="8"/>
  <c r="J47" i="8"/>
  <c r="K47" i="8" s="1"/>
  <c r="G46" i="8"/>
  <c r="F46" i="8"/>
  <c r="E46" i="8"/>
  <c r="D46" i="8"/>
  <c r="C46" i="8"/>
  <c r="H45" i="8"/>
  <c r="J45" i="8" s="1"/>
  <c r="K45" i="8" s="1"/>
  <c r="H44" i="8"/>
  <c r="J44" i="8" s="1"/>
  <c r="K44" i="8" s="1"/>
  <c r="J43" i="8"/>
  <c r="H43" i="8"/>
  <c r="G43" i="8"/>
  <c r="B43" i="8"/>
  <c r="K43" i="8" s="1"/>
  <c r="H42" i="8"/>
  <c r="J42" i="8" s="1"/>
  <c r="B42" i="8"/>
  <c r="K42" i="8" s="1"/>
  <c r="K41" i="8"/>
  <c r="J41" i="8"/>
  <c r="I41" i="8"/>
  <c r="I46" i="8" s="1"/>
  <c r="B41" i="8"/>
  <c r="B46" i="8" s="1"/>
  <c r="H40" i="8"/>
  <c r="J40" i="8" s="1"/>
  <c r="K40" i="8" s="1"/>
  <c r="G40" i="8"/>
  <c r="K39" i="8"/>
  <c r="J39" i="8"/>
  <c r="H39" i="8"/>
  <c r="H46" i="8" s="1"/>
  <c r="I38" i="8"/>
  <c r="H38" i="8"/>
  <c r="G38" i="8"/>
  <c r="F38" i="8"/>
  <c r="J38" i="8" s="1"/>
  <c r="E38" i="8"/>
  <c r="D38" i="8"/>
  <c r="C38" i="8"/>
  <c r="B38" i="8"/>
  <c r="J37" i="8"/>
  <c r="K37" i="8" s="1"/>
  <c r="H37" i="8"/>
  <c r="K36" i="8"/>
  <c r="J36" i="8"/>
  <c r="I36" i="8"/>
  <c r="K35" i="8"/>
  <c r="J35" i="8"/>
  <c r="J34" i="8"/>
  <c r="I34" i="8"/>
  <c r="H34" i="8"/>
  <c r="G34" i="8"/>
  <c r="F34" i="8"/>
  <c r="E34" i="8"/>
  <c r="D34" i="8"/>
  <c r="C34" i="8"/>
  <c r="C52" i="8" s="1"/>
  <c r="B34" i="8"/>
  <c r="K34" i="8" s="1"/>
  <c r="J33" i="8"/>
  <c r="K33" i="8" s="1"/>
  <c r="H33" i="8"/>
  <c r="J32" i="8"/>
  <c r="K32" i="8" s="1"/>
  <c r="H32" i="8"/>
  <c r="J31" i="8"/>
  <c r="K31" i="8" s="1"/>
  <c r="I30" i="8"/>
  <c r="G30" i="8"/>
  <c r="F30" i="8"/>
  <c r="E30" i="8"/>
  <c r="E52" i="8" s="1"/>
  <c r="D30" i="8"/>
  <c r="D52" i="8" s="1"/>
  <c r="C30" i="8"/>
  <c r="B30" i="8"/>
  <c r="H29" i="8"/>
  <c r="J29" i="8" s="1"/>
  <c r="K29" i="8" s="1"/>
  <c r="B29" i="8"/>
  <c r="J28" i="8"/>
  <c r="K28" i="8" s="1"/>
  <c r="H28" i="8"/>
  <c r="K27" i="8"/>
  <c r="J27" i="8"/>
  <c r="H27" i="8"/>
  <c r="B27" i="8"/>
  <c r="H26" i="8"/>
  <c r="H30" i="8" s="1"/>
  <c r="J30" i="8" s="1"/>
  <c r="J25" i="8"/>
  <c r="K25" i="8" s="1"/>
  <c r="H24" i="8"/>
  <c r="I23" i="8"/>
  <c r="J23" i="8" s="1"/>
  <c r="K23" i="8" s="1"/>
  <c r="J22" i="8"/>
  <c r="K22" i="8" s="1"/>
  <c r="G22" i="8"/>
  <c r="J21" i="8"/>
  <c r="K21" i="8" s="1"/>
  <c r="H21" i="8"/>
  <c r="J20" i="8"/>
  <c r="K20" i="8" s="1"/>
  <c r="H20" i="8"/>
  <c r="K19" i="8"/>
  <c r="J19" i="8"/>
  <c r="H19" i="8"/>
  <c r="I18" i="8"/>
  <c r="G18" i="8"/>
  <c r="G52" i="8" s="1"/>
  <c r="B18" i="8"/>
  <c r="B52" i="8" s="1"/>
  <c r="F14" i="8"/>
  <c r="J14" i="8" s="1"/>
  <c r="K14" i="8" s="1"/>
  <c r="E13" i="8"/>
  <c r="E15" i="8" s="1"/>
  <c r="E16" i="8" s="1"/>
  <c r="D13" i="8"/>
  <c r="D15" i="8" s="1"/>
  <c r="D16" i="8" s="1"/>
  <c r="J12" i="8"/>
  <c r="B12" i="8"/>
  <c r="K12" i="8" s="1"/>
  <c r="I11" i="8"/>
  <c r="I13" i="8" s="1"/>
  <c r="I15" i="8" s="1"/>
  <c r="I16" i="8" s="1"/>
  <c r="H11" i="8"/>
  <c r="H13" i="8" s="1"/>
  <c r="H15" i="8" s="1"/>
  <c r="H16" i="8" s="1"/>
  <c r="G11" i="8"/>
  <c r="E11" i="8"/>
  <c r="D11" i="8"/>
  <c r="C11" i="8"/>
  <c r="C13" i="8" s="1"/>
  <c r="C15" i="8" s="1"/>
  <c r="C16" i="8" s="1"/>
  <c r="C53" i="8" s="1"/>
  <c r="B11" i="8"/>
  <c r="B13" i="8" s="1"/>
  <c r="F10" i="8"/>
  <c r="J10" i="8" s="1"/>
  <c r="K10" i="8" s="1"/>
  <c r="J9" i="8"/>
  <c r="K9" i="8" s="1"/>
  <c r="G8" i="8"/>
  <c r="G13" i="8" s="1"/>
  <c r="G15" i="8" s="1"/>
  <c r="G16" i="8" s="1"/>
  <c r="G53" i="8" s="1"/>
  <c r="G67" i="8" s="1"/>
  <c r="F8" i="8"/>
  <c r="J7" i="8"/>
  <c r="K7" i="8" s="1"/>
  <c r="E73" i="2"/>
  <c r="C73" i="2"/>
  <c r="E72" i="2"/>
  <c r="B72" i="2"/>
  <c r="B73" i="2" s="1"/>
  <c r="D73" i="2" s="1"/>
  <c r="C69" i="2"/>
  <c r="C70" i="2" s="1"/>
  <c r="E68" i="2"/>
  <c r="D68" i="2"/>
  <c r="B68" i="2"/>
  <c r="E67" i="2"/>
  <c r="B67" i="2"/>
  <c r="D67" i="2" s="1"/>
  <c r="E66" i="2"/>
  <c r="B66" i="2"/>
  <c r="D66" i="2" s="1"/>
  <c r="E65" i="2"/>
  <c r="B65" i="2"/>
  <c r="D65" i="2" s="1"/>
  <c r="E64" i="2"/>
  <c r="D64" i="2"/>
  <c r="E63" i="2"/>
  <c r="B63" i="2"/>
  <c r="E59" i="2"/>
  <c r="B59" i="2"/>
  <c r="D59" i="2" s="1"/>
  <c r="C58" i="2"/>
  <c r="E57" i="2"/>
  <c r="D57" i="2"/>
  <c r="C57" i="2"/>
  <c r="C56" i="2"/>
  <c r="E56" i="2" s="1"/>
  <c r="C55" i="2"/>
  <c r="B55" i="2"/>
  <c r="E55" i="2" s="1"/>
  <c r="C54" i="2"/>
  <c r="E54" i="2" s="1"/>
  <c r="B54" i="2"/>
  <c r="D54" i="2" s="1"/>
  <c r="E53" i="2"/>
  <c r="D53" i="2"/>
  <c r="C51" i="2"/>
  <c r="E51" i="2" s="1"/>
  <c r="B51" i="2"/>
  <c r="E50" i="2"/>
  <c r="D50" i="2"/>
  <c r="C50" i="2"/>
  <c r="B50" i="2"/>
  <c r="C49" i="2"/>
  <c r="E49" i="2" s="1"/>
  <c r="B49" i="2"/>
  <c r="E48" i="2"/>
  <c r="D48" i="2"/>
  <c r="C48" i="2"/>
  <c r="B48" i="2"/>
  <c r="C47" i="2"/>
  <c r="E47" i="2" s="1"/>
  <c r="B47" i="2"/>
  <c r="E46" i="2"/>
  <c r="D46" i="2"/>
  <c r="C46" i="2"/>
  <c r="C52" i="2" s="1"/>
  <c r="E52" i="2" s="1"/>
  <c r="B46" i="2"/>
  <c r="E45" i="2"/>
  <c r="B45" i="2"/>
  <c r="B52" i="2" s="1"/>
  <c r="C44" i="2"/>
  <c r="C43" i="2"/>
  <c r="E43" i="2" s="1"/>
  <c r="B43" i="2"/>
  <c r="D43" i="2" s="1"/>
  <c r="E42" i="2"/>
  <c r="B42" i="2"/>
  <c r="B44" i="2" s="1"/>
  <c r="D44" i="2" s="1"/>
  <c r="E41" i="2"/>
  <c r="D41" i="2"/>
  <c r="E39" i="2"/>
  <c r="D39" i="2"/>
  <c r="C39" i="2"/>
  <c r="C38" i="2"/>
  <c r="E38" i="2" s="1"/>
  <c r="B38" i="2"/>
  <c r="D38" i="2" s="1"/>
  <c r="C37" i="2"/>
  <c r="C40" i="2" s="1"/>
  <c r="B37" i="2"/>
  <c r="E36" i="2"/>
  <c r="D36" i="2"/>
  <c r="E34" i="2"/>
  <c r="C34" i="2"/>
  <c r="B34" i="2"/>
  <c r="D34" i="2" s="1"/>
  <c r="D33" i="2"/>
  <c r="C33" i="2"/>
  <c r="B33" i="2"/>
  <c r="E33" i="2" s="1"/>
  <c r="E32" i="2"/>
  <c r="C32" i="2"/>
  <c r="B32" i="2"/>
  <c r="D32" i="2" s="1"/>
  <c r="E31" i="2"/>
  <c r="D31" i="2"/>
  <c r="C31" i="2"/>
  <c r="C35" i="2" s="1"/>
  <c r="B31" i="2"/>
  <c r="B35" i="2" s="1"/>
  <c r="D35" i="2" s="1"/>
  <c r="E30" i="2"/>
  <c r="D30" i="2"/>
  <c r="C29" i="2"/>
  <c r="E29" i="2" s="1"/>
  <c r="C28" i="2"/>
  <c r="B28" i="2"/>
  <c r="E28" i="2" s="1"/>
  <c r="D27" i="2"/>
  <c r="C27" i="2"/>
  <c r="E27" i="2" s="1"/>
  <c r="E26" i="2"/>
  <c r="D26" i="2"/>
  <c r="C26" i="2"/>
  <c r="B26" i="2"/>
  <c r="E25" i="2"/>
  <c r="C25" i="2"/>
  <c r="B25" i="2"/>
  <c r="D25" i="2" s="1"/>
  <c r="E24" i="2"/>
  <c r="D24" i="2"/>
  <c r="B24" i="2"/>
  <c r="E23" i="2"/>
  <c r="D23" i="2"/>
  <c r="C23" i="2"/>
  <c r="C22" i="2"/>
  <c r="E22" i="2" s="1"/>
  <c r="B22" i="2"/>
  <c r="D22" i="2" s="1"/>
  <c r="C21" i="2"/>
  <c r="E21" i="2" s="1"/>
  <c r="B21" i="2"/>
  <c r="C20" i="2"/>
  <c r="E20" i="2" s="1"/>
  <c r="C19" i="2"/>
  <c r="B19" i="2"/>
  <c r="E19" i="2" s="1"/>
  <c r="E15" i="2"/>
  <c r="D15" i="2"/>
  <c r="B15" i="2"/>
  <c r="E13" i="2"/>
  <c r="C13" i="2"/>
  <c r="B13" i="2"/>
  <c r="D13" i="2" s="1"/>
  <c r="B12" i="2"/>
  <c r="B14" i="2" s="1"/>
  <c r="E11" i="2"/>
  <c r="C11" i="2"/>
  <c r="C12" i="2" s="1"/>
  <c r="B11" i="2"/>
  <c r="D11" i="2" s="1"/>
  <c r="E10" i="2"/>
  <c r="D10" i="2"/>
  <c r="C9" i="2"/>
  <c r="C14" i="2" s="1"/>
  <c r="B9" i="2"/>
  <c r="E8" i="2"/>
  <c r="D8" i="2"/>
  <c r="B61" i="1"/>
  <c r="B60" i="1"/>
  <c r="B59" i="1"/>
  <c r="B58" i="1"/>
  <c r="B57" i="1"/>
  <c r="B62" i="1" s="1"/>
  <c r="B52" i="1"/>
  <c r="B51" i="1"/>
  <c r="B50" i="1"/>
  <c r="B53" i="1" s="1"/>
  <c r="B48" i="1"/>
  <c r="B47" i="1"/>
  <c r="B40" i="1"/>
  <c r="B39" i="1"/>
  <c r="B38" i="1"/>
  <c r="B37" i="1"/>
  <c r="B36" i="1"/>
  <c r="B34" i="1"/>
  <c r="B35" i="1" s="1"/>
  <c r="B33" i="1"/>
  <c r="B31" i="1"/>
  <c r="B30" i="1"/>
  <c r="B29" i="1"/>
  <c r="B28" i="1"/>
  <c r="B32" i="1" s="1"/>
  <c r="B41" i="1" s="1"/>
  <c r="B25" i="1"/>
  <c r="B26" i="1" s="1"/>
  <c r="B24" i="1"/>
  <c r="B23" i="1"/>
  <c r="B19" i="1"/>
  <c r="B20" i="1" s="1"/>
  <c r="B16" i="1"/>
  <c r="B17" i="1" s="1"/>
  <c r="B14" i="1"/>
  <c r="B21" i="1" s="1"/>
  <c r="B13" i="1"/>
  <c r="B12" i="1"/>
  <c r="B11" i="1"/>
  <c r="B10" i="1"/>
  <c r="B9" i="1"/>
  <c r="G7" i="9" l="1"/>
  <c r="G6" i="9"/>
  <c r="B10" i="4"/>
  <c r="G10" i="4" s="1"/>
  <c r="F13" i="8"/>
  <c r="K30" i="8"/>
  <c r="K46" i="8"/>
  <c r="J46" i="8"/>
  <c r="B66" i="8"/>
  <c r="D62" i="8"/>
  <c r="D66" i="8" s="1"/>
  <c r="K65" i="8"/>
  <c r="B15" i="8"/>
  <c r="E62" i="8"/>
  <c r="E66" i="8" s="1"/>
  <c r="I52" i="8"/>
  <c r="I53" i="8" s="1"/>
  <c r="I67" i="8" s="1"/>
  <c r="K55" i="8"/>
  <c r="D53" i="8"/>
  <c r="H52" i="8"/>
  <c r="H53" i="8" s="1"/>
  <c r="H67" i="8" s="1"/>
  <c r="K38" i="8"/>
  <c r="J62" i="8"/>
  <c r="F66" i="8"/>
  <c r="J66" i="8" s="1"/>
  <c r="E53" i="8"/>
  <c r="E67" i="8" s="1"/>
  <c r="J26" i="8"/>
  <c r="K26" i="8" s="1"/>
  <c r="F52" i="8"/>
  <c r="J52" i="8" s="1"/>
  <c r="K52" i="8" s="1"/>
  <c r="J64" i="8"/>
  <c r="J8" i="8"/>
  <c r="K8" i="8" s="1"/>
  <c r="J18" i="8"/>
  <c r="K18" i="8" s="1"/>
  <c r="C61" i="8"/>
  <c r="C62" i="8" s="1"/>
  <c r="K61" i="8"/>
  <c r="K64" i="8"/>
  <c r="J24" i="8"/>
  <c r="K24" i="8" s="1"/>
  <c r="F11" i="8"/>
  <c r="J11" i="8" s="1"/>
  <c r="K11" i="8" s="1"/>
  <c r="J55" i="8"/>
  <c r="J57" i="8"/>
  <c r="K57" i="8" s="1"/>
  <c r="E14" i="2"/>
  <c r="C16" i="2"/>
  <c r="E35" i="2"/>
  <c r="E12" i="2"/>
  <c r="D12" i="2"/>
  <c r="E44" i="2"/>
  <c r="C74" i="2"/>
  <c r="E74" i="2" s="1"/>
  <c r="E70" i="2"/>
  <c r="D52" i="2"/>
  <c r="D14" i="2"/>
  <c r="B16" i="2"/>
  <c r="C60" i="2"/>
  <c r="B70" i="2"/>
  <c r="D21" i="2"/>
  <c r="D37" i="2"/>
  <c r="D42" i="2"/>
  <c r="D9" i="2"/>
  <c r="E9" i="2"/>
  <c r="D19" i="2"/>
  <c r="D28" i="2"/>
  <c r="E37" i="2"/>
  <c r="B40" i="2"/>
  <c r="D40" i="2" s="1"/>
  <c r="D55" i="2"/>
  <c r="B58" i="2"/>
  <c r="D58" i="2" s="1"/>
  <c r="D63" i="2"/>
  <c r="B69" i="2"/>
  <c r="D69" i="2" s="1"/>
  <c r="D72" i="2"/>
  <c r="D45" i="2"/>
  <c r="D47" i="2"/>
  <c r="D49" i="2"/>
  <c r="D51" i="2"/>
  <c r="D20" i="2"/>
  <c r="D29" i="2"/>
  <c r="D56" i="2"/>
  <c r="E69" i="2"/>
  <c r="B42" i="1"/>
  <c r="B54" i="1"/>
  <c r="B55" i="1" s="1"/>
  <c r="B63" i="1" s="1"/>
  <c r="C66" i="8" l="1"/>
  <c r="C67" i="8" s="1"/>
  <c r="K62" i="8"/>
  <c r="B16" i="8"/>
  <c r="F15" i="8"/>
  <c r="J13" i="8"/>
  <c r="K13" i="8" s="1"/>
  <c r="D67" i="8"/>
  <c r="E60" i="2"/>
  <c r="B17" i="2"/>
  <c r="D16" i="2"/>
  <c r="D70" i="2"/>
  <c r="B74" i="2"/>
  <c r="D74" i="2" s="1"/>
  <c r="B60" i="2"/>
  <c r="D60" i="2" s="1"/>
  <c r="E58" i="2"/>
  <c r="E40" i="2"/>
  <c r="E16" i="2"/>
  <c r="C17" i="2"/>
  <c r="J15" i="8" l="1"/>
  <c r="K15" i="8" s="1"/>
  <c r="F16" i="8"/>
  <c r="B53" i="8"/>
  <c r="K66" i="8"/>
  <c r="E17" i="2"/>
  <c r="C61" i="2"/>
  <c r="D17" i="2"/>
  <c r="B61" i="2"/>
  <c r="B67" i="8" l="1"/>
  <c r="J16" i="8"/>
  <c r="K16" i="8" s="1"/>
  <c r="F53" i="8"/>
  <c r="D61" i="2"/>
  <c r="B75" i="2"/>
  <c r="C75" i="2"/>
  <c r="E75" i="2" s="1"/>
  <c r="E61" i="2"/>
  <c r="J53" i="8" l="1"/>
  <c r="K53" i="8" s="1"/>
  <c r="F67" i="8"/>
  <c r="J67" i="8" s="1"/>
  <c r="K67" i="8"/>
  <c r="D75" i="2"/>
  <c r="G31" i="2" l="1"/>
  <c r="G30" i="2"/>
  <c r="G32" i="2" s="1"/>
  <c r="G23" i="2"/>
  <c r="G24" i="2" s="1"/>
  <c r="G22" i="2"/>
  <c r="I35" i="5"/>
  <c r="N24" i="6" l="1"/>
  <c r="O24" i="6" l="1"/>
  <c r="H29" i="2"/>
  <c r="H58" i="2"/>
  <c r="H59" i="2"/>
  <c r="H60" i="2" l="1"/>
  <c r="H52" i="2"/>
  <c r="H44" i="2"/>
  <c r="H40" i="2"/>
  <c r="H35" i="2"/>
  <c r="K35" i="2" s="1"/>
  <c r="H17" i="2"/>
  <c r="C91" i="7"/>
  <c r="D90" i="7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F100" i="7" s="1"/>
  <c r="D87" i="7"/>
  <c r="C87" i="7"/>
  <c r="E87" i="7" s="1"/>
  <c r="B87" i="7"/>
  <c r="G86" i="7"/>
  <c r="W85" i="7"/>
  <c r="W86" i="7" s="1"/>
  <c r="C77" i="7"/>
  <c r="E77" i="7" s="1"/>
  <c r="B77" i="7"/>
  <c r="D77" i="7" s="1"/>
  <c r="E76" i="7"/>
  <c r="B76" i="7"/>
  <c r="D76" i="7" s="1"/>
  <c r="E73" i="7"/>
  <c r="D73" i="7"/>
  <c r="C73" i="7"/>
  <c r="B73" i="7"/>
  <c r="C72" i="7"/>
  <c r="E72" i="7" s="1"/>
  <c r="E71" i="7"/>
  <c r="D71" i="7"/>
  <c r="B71" i="7"/>
  <c r="E70" i="7"/>
  <c r="D70" i="7"/>
  <c r="B70" i="7"/>
  <c r="E69" i="7"/>
  <c r="D69" i="7"/>
  <c r="B69" i="7"/>
  <c r="E68" i="7"/>
  <c r="B68" i="7"/>
  <c r="B72" i="7" s="1"/>
  <c r="E67" i="7"/>
  <c r="D67" i="7"/>
  <c r="E66" i="7"/>
  <c r="D66" i="7"/>
  <c r="B66" i="7"/>
  <c r="P65" i="7"/>
  <c r="O65" i="7"/>
  <c r="N65" i="7"/>
  <c r="M65" i="7"/>
  <c r="J65" i="7"/>
  <c r="I65" i="7"/>
  <c r="H65" i="7"/>
  <c r="Q64" i="7"/>
  <c r="Q63" i="7"/>
  <c r="W62" i="7"/>
  <c r="U62" i="7"/>
  <c r="Q62" i="7"/>
  <c r="Q65" i="7" s="1"/>
  <c r="P62" i="7"/>
  <c r="AA61" i="7"/>
  <c r="Z61" i="7"/>
  <c r="Y61" i="7"/>
  <c r="T61" i="7"/>
  <c r="V61" i="7" s="1"/>
  <c r="X61" i="7" s="1"/>
  <c r="E61" i="7"/>
  <c r="B61" i="7"/>
  <c r="D61" i="7" s="1"/>
  <c r="Z60" i="7"/>
  <c r="Z62" i="7" s="1"/>
  <c r="Y60" i="7"/>
  <c r="AA60" i="7" s="1"/>
  <c r="V60" i="7"/>
  <c r="X60" i="7" s="1"/>
  <c r="O60" i="7"/>
  <c r="N60" i="7"/>
  <c r="E60" i="7"/>
  <c r="C60" i="7"/>
  <c r="D60" i="7" s="1"/>
  <c r="Y59" i="7"/>
  <c r="Y62" i="7" s="1"/>
  <c r="T59" i="7"/>
  <c r="V59" i="7" s="1"/>
  <c r="Q59" i="7"/>
  <c r="M59" i="7"/>
  <c r="E59" i="7"/>
  <c r="C59" i="7"/>
  <c r="C62" i="7" s="1"/>
  <c r="B59" i="7"/>
  <c r="B62" i="7" s="1"/>
  <c r="M58" i="7"/>
  <c r="Q58" i="7" s="1"/>
  <c r="E58" i="7"/>
  <c r="D58" i="7"/>
  <c r="U57" i="7"/>
  <c r="Q57" i="7"/>
  <c r="P57" i="7"/>
  <c r="P60" i="7" s="1"/>
  <c r="B57" i="7"/>
  <c r="D57" i="7" s="1"/>
  <c r="AA56" i="7"/>
  <c r="Z56" i="7"/>
  <c r="Y56" i="7"/>
  <c r="U56" i="7"/>
  <c r="T56" i="7"/>
  <c r="V56" i="7" s="1"/>
  <c r="X56" i="7" s="1"/>
  <c r="Q56" i="7"/>
  <c r="E56" i="7"/>
  <c r="C56" i="7"/>
  <c r="B56" i="7"/>
  <c r="D56" i="7" s="1"/>
  <c r="Z55" i="7"/>
  <c r="W55" i="7"/>
  <c r="W57" i="7" s="1"/>
  <c r="Q55" i="7"/>
  <c r="C55" i="7"/>
  <c r="C57" i="7" s="1"/>
  <c r="E57" i="7" s="1"/>
  <c r="B55" i="7"/>
  <c r="T55" i="7" s="1"/>
  <c r="V55" i="7" s="1"/>
  <c r="AA54" i="7"/>
  <c r="Y54" i="7"/>
  <c r="M54" i="7"/>
  <c r="Y51" i="7" s="1"/>
  <c r="E54" i="7"/>
  <c r="D54" i="7"/>
  <c r="C54" i="7"/>
  <c r="B54" i="7"/>
  <c r="T54" i="7" s="1"/>
  <c r="V54" i="7" s="1"/>
  <c r="X54" i="7" s="1"/>
  <c r="Z53" i="7"/>
  <c r="Y53" i="7"/>
  <c r="AA53" i="7" s="1"/>
  <c r="T53" i="7"/>
  <c r="V53" i="7" s="1"/>
  <c r="X53" i="7" s="1"/>
  <c r="D53" i="7"/>
  <c r="C53" i="7"/>
  <c r="E53" i="7" s="1"/>
  <c r="B53" i="7"/>
  <c r="Z52" i="7"/>
  <c r="Y52" i="7"/>
  <c r="AA52" i="7" s="1"/>
  <c r="T52" i="7"/>
  <c r="V52" i="7" s="1"/>
  <c r="X52" i="7" s="1"/>
  <c r="P52" i="7"/>
  <c r="O52" i="7"/>
  <c r="N52" i="7"/>
  <c r="M52" i="7"/>
  <c r="J52" i="7"/>
  <c r="I52" i="7"/>
  <c r="H52" i="7"/>
  <c r="C52" i="7"/>
  <c r="E52" i="7" s="1"/>
  <c r="B52" i="7"/>
  <c r="D52" i="7" s="1"/>
  <c r="Z51" i="7"/>
  <c r="Z57" i="7" s="1"/>
  <c r="M51" i="7"/>
  <c r="Y48" i="7" s="1"/>
  <c r="E51" i="7"/>
  <c r="D51" i="7"/>
  <c r="C51" i="7"/>
  <c r="B51" i="7"/>
  <c r="T51" i="7" s="1"/>
  <c r="E50" i="7"/>
  <c r="D50" i="7"/>
  <c r="U49" i="7"/>
  <c r="C49" i="7"/>
  <c r="E49" i="7" s="1"/>
  <c r="B49" i="7"/>
  <c r="D49" i="7" s="1"/>
  <c r="Z48" i="7"/>
  <c r="Z49" i="7" s="1"/>
  <c r="W48" i="7"/>
  <c r="W49" i="7" s="1"/>
  <c r="T48" i="7"/>
  <c r="V48" i="7" s="1"/>
  <c r="X48" i="7" s="1"/>
  <c r="X49" i="7" s="1"/>
  <c r="O48" i="7"/>
  <c r="N48" i="7"/>
  <c r="I48" i="7"/>
  <c r="J48" i="7" s="1"/>
  <c r="H48" i="7"/>
  <c r="E48" i="7"/>
  <c r="C48" i="7"/>
  <c r="B48" i="7"/>
  <c r="D48" i="7" s="1"/>
  <c r="Q47" i="7"/>
  <c r="E47" i="7"/>
  <c r="B47" i="7"/>
  <c r="D47" i="7" s="1"/>
  <c r="V46" i="7"/>
  <c r="V49" i="7" s="1"/>
  <c r="Q46" i="7"/>
  <c r="E46" i="7"/>
  <c r="D46" i="7"/>
  <c r="W45" i="7"/>
  <c r="U45" i="7"/>
  <c r="P45" i="7"/>
  <c r="P48" i="7" s="1"/>
  <c r="B45" i="7"/>
  <c r="H40" i="7" s="1"/>
  <c r="AR44" i="7"/>
  <c r="AU44" i="7" s="1"/>
  <c r="Z44" i="7"/>
  <c r="Y44" i="7"/>
  <c r="AA44" i="7" s="1"/>
  <c r="T44" i="7"/>
  <c r="V44" i="7" s="1"/>
  <c r="X44" i="7" s="1"/>
  <c r="D44" i="7"/>
  <c r="C44" i="7"/>
  <c r="E44" i="7" s="1"/>
  <c r="B44" i="7"/>
  <c r="Z43" i="7"/>
  <c r="AA43" i="7" s="1"/>
  <c r="Y43" i="7"/>
  <c r="T43" i="7"/>
  <c r="V43" i="7" s="1"/>
  <c r="X43" i="7" s="1"/>
  <c r="N43" i="7"/>
  <c r="N66" i="7" s="1"/>
  <c r="E43" i="7"/>
  <c r="C43" i="7"/>
  <c r="B43" i="7"/>
  <c r="D43" i="7" s="1"/>
  <c r="AR42" i="7"/>
  <c r="AU42" i="7" s="1"/>
  <c r="U42" i="7"/>
  <c r="N42" i="7"/>
  <c r="D42" i="7"/>
  <c r="C42" i="7"/>
  <c r="C45" i="7" s="1"/>
  <c r="B42" i="7"/>
  <c r="T42" i="7" s="1"/>
  <c r="Q41" i="7"/>
  <c r="P41" i="7"/>
  <c r="E41" i="7"/>
  <c r="D41" i="7"/>
  <c r="AU40" i="7"/>
  <c r="AR40" i="7"/>
  <c r="W40" i="7"/>
  <c r="W63" i="7" s="1"/>
  <c r="O40" i="7"/>
  <c r="Z39" i="7"/>
  <c r="T39" i="7"/>
  <c r="V39" i="7" s="1"/>
  <c r="X39" i="7" s="1"/>
  <c r="Q39" i="7"/>
  <c r="P39" i="7"/>
  <c r="M39" i="7"/>
  <c r="D39" i="7"/>
  <c r="C39" i="7"/>
  <c r="E39" i="7" s="1"/>
  <c r="B39" i="7"/>
  <c r="Z38" i="7"/>
  <c r="AA38" i="7" s="1"/>
  <c r="Y38" i="7"/>
  <c r="U38" i="7"/>
  <c r="T38" i="7"/>
  <c r="V38" i="7" s="1"/>
  <c r="X38" i="7" s="1"/>
  <c r="P38" i="7"/>
  <c r="E38" i="7"/>
  <c r="C38" i="7"/>
  <c r="B38" i="7"/>
  <c r="D38" i="7" s="1"/>
  <c r="U37" i="7"/>
  <c r="U39" i="7" s="1"/>
  <c r="P37" i="7"/>
  <c r="Q37" i="7" s="1"/>
  <c r="C37" i="7"/>
  <c r="C40" i="7" s="1"/>
  <c r="B37" i="7"/>
  <c r="D37" i="7" s="1"/>
  <c r="Z36" i="7"/>
  <c r="U36" i="7"/>
  <c r="U40" i="7" s="1"/>
  <c r="T36" i="7"/>
  <c r="V36" i="7" s="1"/>
  <c r="X36" i="7" s="1"/>
  <c r="P36" i="7"/>
  <c r="Q36" i="7" s="1"/>
  <c r="D36" i="7"/>
  <c r="C36" i="7"/>
  <c r="E36" i="7" s="1"/>
  <c r="B36" i="7"/>
  <c r="AR35" i="7"/>
  <c r="Y35" i="7"/>
  <c r="T35" i="7"/>
  <c r="V35" i="7" s="1"/>
  <c r="P35" i="7"/>
  <c r="Q35" i="7" s="1"/>
  <c r="E35" i="7"/>
  <c r="D35" i="7"/>
  <c r="AR34" i="7"/>
  <c r="AR36" i="7" s="1"/>
  <c r="AN18" i="7" s="1"/>
  <c r="Y34" i="7"/>
  <c r="AA34" i="7" s="1"/>
  <c r="T34" i="7"/>
  <c r="V34" i="7" s="1"/>
  <c r="X34" i="7" s="1"/>
  <c r="P34" i="7"/>
  <c r="Q34" i="7" s="1"/>
  <c r="C34" i="7"/>
  <c r="D34" i="7" s="1"/>
  <c r="Y33" i="7"/>
  <c r="V33" i="7"/>
  <c r="X33" i="7" s="1"/>
  <c r="U33" i="7"/>
  <c r="T33" i="7"/>
  <c r="P33" i="7"/>
  <c r="Q33" i="7" s="1"/>
  <c r="E33" i="7"/>
  <c r="D33" i="7"/>
  <c r="B33" i="7"/>
  <c r="AM32" i="7"/>
  <c r="Y32" i="7"/>
  <c r="AA32" i="7" s="1"/>
  <c r="V32" i="7"/>
  <c r="X32" i="7" s="1"/>
  <c r="U32" i="7"/>
  <c r="T32" i="7"/>
  <c r="P32" i="7"/>
  <c r="M32" i="7"/>
  <c r="Q32" i="7" s="1"/>
  <c r="C32" i="7"/>
  <c r="E32" i="7" s="1"/>
  <c r="B32" i="7"/>
  <c r="Y31" i="7"/>
  <c r="T31" i="7"/>
  <c r="V31" i="7" s="1"/>
  <c r="P31" i="7"/>
  <c r="Q31" i="7" s="1"/>
  <c r="E31" i="7"/>
  <c r="D31" i="7"/>
  <c r="B31" i="7"/>
  <c r="Y30" i="7"/>
  <c r="Q30" i="7"/>
  <c r="P30" i="7"/>
  <c r="M30" i="7"/>
  <c r="Y27" i="7" s="1"/>
  <c r="AA27" i="7" s="1"/>
  <c r="C30" i="7"/>
  <c r="E30" i="7" s="1"/>
  <c r="B30" i="7"/>
  <c r="D30" i="7" s="1"/>
  <c r="Z29" i="7"/>
  <c r="P29" i="7"/>
  <c r="Q29" i="7" s="1"/>
  <c r="D29" i="7"/>
  <c r="C29" i="7"/>
  <c r="E29" i="7" s="1"/>
  <c r="B29" i="7"/>
  <c r="T29" i="7" s="1"/>
  <c r="V29" i="7" s="1"/>
  <c r="X29" i="7" s="1"/>
  <c r="Y28" i="7"/>
  <c r="AA28" i="7" s="1"/>
  <c r="Q28" i="7"/>
  <c r="P28" i="7"/>
  <c r="M28" i="7"/>
  <c r="E28" i="7"/>
  <c r="D28" i="7"/>
  <c r="C28" i="7"/>
  <c r="B28" i="7"/>
  <c r="H35" i="7" s="1"/>
  <c r="Z27" i="7"/>
  <c r="T27" i="7"/>
  <c r="V27" i="7" s="1"/>
  <c r="X27" i="7" s="1"/>
  <c r="P27" i="7"/>
  <c r="Q27" i="7" s="1"/>
  <c r="D27" i="7"/>
  <c r="C27" i="7"/>
  <c r="E27" i="7" s="1"/>
  <c r="B27" i="7"/>
  <c r="Y26" i="7"/>
  <c r="AA26" i="7" s="1"/>
  <c r="V26" i="7"/>
  <c r="Q26" i="7"/>
  <c r="P26" i="7"/>
  <c r="AA25" i="7"/>
  <c r="Z25" i="7"/>
  <c r="Y25" i="7"/>
  <c r="V25" i="7"/>
  <c r="X25" i="7" s="1"/>
  <c r="D25" i="7"/>
  <c r="C25" i="7"/>
  <c r="E25" i="7" s="1"/>
  <c r="Y24" i="7"/>
  <c r="E24" i="7"/>
  <c r="C24" i="7"/>
  <c r="I35" i="7" s="1"/>
  <c r="B24" i="7"/>
  <c r="T24" i="7" s="1"/>
  <c r="V24" i="7" s="1"/>
  <c r="X24" i="7" s="1"/>
  <c r="AN23" i="7"/>
  <c r="Z23" i="7"/>
  <c r="AA23" i="7" s="1"/>
  <c r="Y23" i="7"/>
  <c r="P23" i="7"/>
  <c r="E23" i="7"/>
  <c r="D23" i="7"/>
  <c r="C23" i="7"/>
  <c r="B23" i="7"/>
  <c r="T23" i="7" s="1"/>
  <c r="V23" i="7" s="1"/>
  <c r="X23" i="7" s="1"/>
  <c r="AA22" i="7"/>
  <c r="AA21" i="7"/>
  <c r="AA20" i="7"/>
  <c r="U20" i="7"/>
  <c r="U63" i="7" s="1"/>
  <c r="E20" i="7"/>
  <c r="C20" i="7"/>
  <c r="B20" i="7"/>
  <c r="T20" i="7" s="1"/>
  <c r="H19" i="7"/>
  <c r="AT16" i="7"/>
  <c r="AN16" i="7"/>
  <c r="M45" i="7" s="1"/>
  <c r="V16" i="7"/>
  <c r="X16" i="7" s="1"/>
  <c r="T16" i="7"/>
  <c r="E16" i="7"/>
  <c r="D16" i="7"/>
  <c r="B16" i="7"/>
  <c r="BE15" i="7"/>
  <c r="AN15" i="7"/>
  <c r="W15" i="7"/>
  <c r="W17" i="7" s="1"/>
  <c r="W18" i="7" s="1"/>
  <c r="W64" i="7" s="1"/>
  <c r="W87" i="7" s="1"/>
  <c r="P15" i="7"/>
  <c r="P16" i="7" s="1"/>
  <c r="P18" i="7" s="1"/>
  <c r="P19" i="7" s="1"/>
  <c r="O15" i="7"/>
  <c r="O16" i="7" s="1"/>
  <c r="O18" i="7" s="1"/>
  <c r="O19" i="7" s="1"/>
  <c r="N15" i="7"/>
  <c r="N16" i="7" s="1"/>
  <c r="N18" i="7" s="1"/>
  <c r="N19" i="7" s="1"/>
  <c r="M15" i="7"/>
  <c r="M16" i="7" s="1"/>
  <c r="M18" i="7" s="1"/>
  <c r="M19" i="7" s="1"/>
  <c r="AN14" i="7"/>
  <c r="Z14" i="7"/>
  <c r="Y14" i="7"/>
  <c r="Y15" i="7" s="1"/>
  <c r="Y17" i="7" s="1"/>
  <c r="Y18" i="7" s="1"/>
  <c r="W14" i="7"/>
  <c r="U14" i="7"/>
  <c r="Q14" i="7"/>
  <c r="Q15" i="7" s="1"/>
  <c r="AA13" i="7"/>
  <c r="V13" i="7"/>
  <c r="X13" i="7" s="1"/>
  <c r="Q13" i="7"/>
  <c r="P13" i="7"/>
  <c r="E13" i="7"/>
  <c r="C13" i="7"/>
  <c r="C14" i="7" s="1"/>
  <c r="B13" i="7"/>
  <c r="D13" i="7" s="1"/>
  <c r="AR12" i="7"/>
  <c r="AN12" i="7"/>
  <c r="Y12" i="7"/>
  <c r="AA12" i="7" s="1"/>
  <c r="AA14" i="7" s="1"/>
  <c r="T12" i="7"/>
  <c r="V12" i="7" s="1"/>
  <c r="Q12" i="7"/>
  <c r="P12" i="7"/>
  <c r="E12" i="7"/>
  <c r="B12" i="7"/>
  <c r="D12" i="7" s="1"/>
  <c r="D14" i="7" s="1"/>
  <c r="AA11" i="7"/>
  <c r="U11" i="7"/>
  <c r="U15" i="7" s="1"/>
  <c r="U17" i="7" s="1"/>
  <c r="U18" i="7" s="1"/>
  <c r="D11" i="7"/>
  <c r="AA10" i="7"/>
  <c r="X10" i="7"/>
  <c r="BE9" i="7"/>
  <c r="AW9" i="7"/>
  <c r="AT9" i="7"/>
  <c r="AU9" i="7" s="1"/>
  <c r="Z9" i="7"/>
  <c r="Z15" i="7" s="1"/>
  <c r="Z17" i="7" s="1"/>
  <c r="Z18" i="7" s="1"/>
  <c r="Y9" i="7"/>
  <c r="AA9" i="7" s="1"/>
  <c r="U9" i="7"/>
  <c r="T9" i="7"/>
  <c r="Q9" i="7"/>
  <c r="D9" i="7"/>
  <c r="C9" i="7"/>
  <c r="E9" i="7" s="1"/>
  <c r="B9" i="7"/>
  <c r="AY8" i="7"/>
  <c r="AZ8" i="7" s="1"/>
  <c r="AW8" i="7"/>
  <c r="AU8" i="7"/>
  <c r="AT8" i="7"/>
  <c r="AK8" i="7"/>
  <c r="E8" i="7"/>
  <c r="D8" i="7"/>
  <c r="AY7" i="7"/>
  <c r="AZ7" i="7" s="1"/>
  <c r="AW7" i="7"/>
  <c r="AW12" i="7" s="1"/>
  <c r="AT7" i="7"/>
  <c r="AU7" i="7" s="1"/>
  <c r="AR7" i="7"/>
  <c r="O19" i="6"/>
  <c r="H66" i="2" l="1"/>
  <c r="H61" i="2"/>
  <c r="H63" i="2" s="1"/>
  <c r="H65" i="2"/>
  <c r="E62" i="7"/>
  <c r="I60" i="7"/>
  <c r="Q16" i="7"/>
  <c r="Q18" i="7" s="1"/>
  <c r="Q19" i="7" s="1"/>
  <c r="E40" i="7"/>
  <c r="AN19" i="7"/>
  <c r="V14" i="7"/>
  <c r="X12" i="7"/>
  <c r="X14" i="7" s="1"/>
  <c r="V20" i="7"/>
  <c r="C63" i="7"/>
  <c r="T57" i="7"/>
  <c r="V51" i="7"/>
  <c r="AW14" i="7"/>
  <c r="AZ12" i="7"/>
  <c r="AZ14" i="7" s="1"/>
  <c r="D15" i="7"/>
  <c r="P43" i="7"/>
  <c r="P66" i="7" s="1"/>
  <c r="P67" i="7" s="1"/>
  <c r="I67" i="7"/>
  <c r="J35" i="7"/>
  <c r="AU12" i="7"/>
  <c r="AN8" i="7" s="1"/>
  <c r="M40" i="7" s="1"/>
  <c r="AA15" i="7"/>
  <c r="AA17" i="7" s="1"/>
  <c r="AA18" i="7" s="1"/>
  <c r="U64" i="7"/>
  <c r="N67" i="7"/>
  <c r="V62" i="7"/>
  <c r="X59" i="7"/>
  <c r="X62" i="7" s="1"/>
  <c r="T45" i="7"/>
  <c r="V42" i="7"/>
  <c r="D72" i="7"/>
  <c r="B74" i="7"/>
  <c r="X40" i="7"/>
  <c r="I40" i="7"/>
  <c r="J40" i="7" s="1"/>
  <c r="D45" i="7"/>
  <c r="E45" i="7"/>
  <c r="Y42" i="7"/>
  <c r="M48" i="7"/>
  <c r="Q45" i="7"/>
  <c r="Q48" i="7" s="1"/>
  <c r="V40" i="7"/>
  <c r="AA48" i="7"/>
  <c r="AA49" i="7" s="1"/>
  <c r="Y49" i="7"/>
  <c r="AA51" i="7"/>
  <c r="AA57" i="7" s="1"/>
  <c r="Y57" i="7"/>
  <c r="H60" i="7"/>
  <c r="H67" i="7" s="1"/>
  <c r="H68" i="7" s="1"/>
  <c r="D62" i="7"/>
  <c r="V9" i="7"/>
  <c r="I19" i="7"/>
  <c r="Q23" i="7"/>
  <c r="Z24" i="7"/>
  <c r="AA24" i="7" s="1"/>
  <c r="Z30" i="7"/>
  <c r="AA30" i="7" s="1"/>
  <c r="E34" i="7"/>
  <c r="E37" i="7"/>
  <c r="T40" i="7"/>
  <c r="Z45" i="7"/>
  <c r="Q51" i="7"/>
  <c r="Q52" i="7" s="1"/>
  <c r="Q54" i="7"/>
  <c r="Q60" i="7" s="1"/>
  <c r="D55" i="7"/>
  <c r="D68" i="7"/>
  <c r="O42" i="7"/>
  <c r="P42" i="7" s="1"/>
  <c r="V11" i="7"/>
  <c r="X11" i="7" s="1"/>
  <c r="X55" i="7"/>
  <c r="Y36" i="7"/>
  <c r="T49" i="7"/>
  <c r="E55" i="7"/>
  <c r="M60" i="7"/>
  <c r="C74" i="7"/>
  <c r="T14" i="7"/>
  <c r="T15" i="7" s="1"/>
  <c r="T17" i="7" s="1"/>
  <c r="T18" i="7" s="1"/>
  <c r="D32" i="7"/>
  <c r="B14" i="7"/>
  <c r="E14" i="7" s="1"/>
  <c r="C15" i="7"/>
  <c r="D20" i="7"/>
  <c r="D24" i="7"/>
  <c r="T28" i="7"/>
  <c r="V28" i="7" s="1"/>
  <c r="X28" i="7" s="1"/>
  <c r="Y29" i="7"/>
  <c r="AA29" i="7" s="1"/>
  <c r="Z31" i="7"/>
  <c r="AA31" i="7" s="1"/>
  <c r="E42" i="7"/>
  <c r="D59" i="7"/>
  <c r="AA59" i="7"/>
  <c r="AA62" i="7" s="1"/>
  <c r="T62" i="7"/>
  <c r="B40" i="7"/>
  <c r="D40" i="7" s="1"/>
  <c r="P40" i="7"/>
  <c r="T30" i="7"/>
  <c r="V30" i="7" s="1"/>
  <c r="X30" i="7" s="1"/>
  <c r="Z33" i="7"/>
  <c r="AA33" i="7" s="1"/>
  <c r="Z35" i="7"/>
  <c r="T37" i="7"/>
  <c r="V37" i="7" s="1"/>
  <c r="X37" i="7" s="1"/>
  <c r="Q38" i="7"/>
  <c r="Y55" i="7"/>
  <c r="AA55" i="7" s="1"/>
  <c r="H67" i="2" l="1"/>
  <c r="Q40" i="7"/>
  <c r="M42" i="7"/>
  <c r="Y37" i="7"/>
  <c r="AA37" i="7" s="1"/>
  <c r="AC41" i="7" s="1"/>
  <c r="J68" i="7"/>
  <c r="B15" i="7"/>
  <c r="B17" i="7" s="1"/>
  <c r="T63" i="7"/>
  <c r="T64" i="7" s="1"/>
  <c r="B78" i="7"/>
  <c r="D78" i="7" s="1"/>
  <c r="D74" i="7"/>
  <c r="Y45" i="7"/>
  <c r="AA42" i="7"/>
  <c r="AA45" i="7" s="1"/>
  <c r="X20" i="7"/>
  <c r="C78" i="7"/>
  <c r="E74" i="7"/>
  <c r="V45" i="7"/>
  <c r="V63" i="7" s="1"/>
  <c r="X42" i="7"/>
  <c r="X45" i="7" s="1"/>
  <c r="B63" i="7"/>
  <c r="R37" i="7"/>
  <c r="O43" i="7"/>
  <c r="O66" i="7" s="1"/>
  <c r="O67" i="7" s="1"/>
  <c r="Z63" i="7"/>
  <c r="Z64" i="7" s="1"/>
  <c r="D63" i="7"/>
  <c r="I68" i="7"/>
  <c r="J19" i="7"/>
  <c r="AN9" i="7"/>
  <c r="AN28" i="7" s="1"/>
  <c r="AO28" i="7" s="1"/>
  <c r="V57" i="7"/>
  <c r="X51" i="7"/>
  <c r="X57" i="7" s="1"/>
  <c r="C17" i="7"/>
  <c r="AA36" i="7"/>
  <c r="V15" i="7"/>
  <c r="V17" i="7" s="1"/>
  <c r="V18" i="7" s="1"/>
  <c r="X9" i="7"/>
  <c r="X15" i="7" s="1"/>
  <c r="X17" i="7" s="1"/>
  <c r="X18" i="7" s="1"/>
  <c r="K65" i="7"/>
  <c r="K35" i="7"/>
  <c r="J60" i="7"/>
  <c r="AA35" i="7"/>
  <c r="Z40" i="7"/>
  <c r="J67" i="7"/>
  <c r="E63" i="7"/>
  <c r="Q42" i="7" l="1"/>
  <c r="Q43" i="7" s="1"/>
  <c r="Q66" i="7" s="1"/>
  <c r="Q67" i="7" s="1"/>
  <c r="Y39" i="7"/>
  <c r="V64" i="7"/>
  <c r="D17" i="7"/>
  <c r="B18" i="7"/>
  <c r="X63" i="7"/>
  <c r="X64" i="7" s="1"/>
  <c r="E17" i="7"/>
  <c r="C18" i="7"/>
  <c r="M43" i="7"/>
  <c r="M66" i="7" s="1"/>
  <c r="E15" i="7"/>
  <c r="E78" i="7"/>
  <c r="C64" i="7" l="1"/>
  <c r="E18" i="7"/>
  <c r="B64" i="7"/>
  <c r="D18" i="7"/>
  <c r="O69" i="7"/>
  <c r="M67" i="7"/>
  <c r="O70" i="7" s="1"/>
  <c r="AA39" i="7"/>
  <c r="AA40" i="7" s="1"/>
  <c r="AA63" i="7" s="1"/>
  <c r="AA64" i="7" s="1"/>
  <c r="Y40" i="7"/>
  <c r="Y63" i="7" s="1"/>
  <c r="Y64" i="7" s="1"/>
  <c r="N15" i="6"/>
  <c r="N14" i="6"/>
  <c r="N13" i="6"/>
  <c r="N12" i="6"/>
  <c r="B79" i="7" l="1"/>
  <c r="D79" i="7" s="1"/>
  <c r="D64" i="7"/>
  <c r="E64" i="7"/>
  <c r="C79" i="7"/>
  <c r="E79" i="7" l="1"/>
  <c r="N27" i="5" l="1"/>
  <c r="N24" i="5"/>
  <c r="N21" i="5"/>
  <c r="N16" i="5"/>
  <c r="N11" i="5"/>
  <c r="M29" i="5"/>
  <c r="N29" i="5" l="1"/>
  <c r="C91" i="2" l="1"/>
  <c r="D90" i="2"/>
  <c r="D91" i="2" l="1"/>
  <c r="D92" i="2" s="1"/>
  <c r="D93" i="2" s="1"/>
  <c r="D94" i="2" s="1"/>
  <c r="D95" i="2" s="1"/>
  <c r="D96" i="2" s="1"/>
  <c r="D97" i="2" s="1"/>
  <c r="D98" i="2" s="1"/>
  <c r="D99" i="2" s="1"/>
  <c r="D100" i="2" s="1"/>
  <c r="M24" i="6" l="1"/>
  <c r="J19" i="6"/>
  <c r="Y18" i="6"/>
  <c r="M15" i="6"/>
  <c r="L15" i="6"/>
  <c r="P15" i="6" s="1"/>
  <c r="K15" i="6"/>
  <c r="J15" i="6"/>
  <c r="I15" i="6"/>
  <c r="H15" i="6"/>
  <c r="G15" i="6"/>
  <c r="G19" i="6" s="1"/>
  <c r="F15" i="6"/>
  <c r="E15" i="6"/>
  <c r="M14" i="6"/>
  <c r="M19" i="6" s="1"/>
  <c r="L14" i="6"/>
  <c r="K14" i="6"/>
  <c r="K19" i="6" s="1"/>
  <c r="J14" i="6"/>
  <c r="I14" i="6"/>
  <c r="I19" i="6" s="1"/>
  <c r="H14" i="6"/>
  <c r="H19" i="6" s="1"/>
  <c r="G14" i="6"/>
  <c r="F14" i="6"/>
  <c r="E14" i="6"/>
  <c r="E19" i="6" s="1"/>
  <c r="M13" i="6"/>
  <c r="L13" i="6"/>
  <c r="P13" i="6" s="1"/>
  <c r="K13" i="6"/>
  <c r="J13" i="6"/>
  <c r="I13" i="6"/>
  <c r="H13" i="6"/>
  <c r="G13" i="6"/>
  <c r="F13" i="6"/>
  <c r="E13" i="6"/>
  <c r="M12" i="6"/>
  <c r="L12" i="6"/>
  <c r="P12" i="6" s="1"/>
  <c r="K12" i="6"/>
  <c r="J12" i="6"/>
  <c r="I12" i="6"/>
  <c r="H12" i="6"/>
  <c r="G12" i="6"/>
  <c r="F12" i="6"/>
  <c r="E12" i="6"/>
  <c r="E11" i="6"/>
  <c r="P11" i="6" s="1"/>
  <c r="I40" i="6"/>
  <c r="L19" i="6" l="1"/>
  <c r="P14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P17" i="6" l="1"/>
  <c r="B87" i="2"/>
  <c r="C87" i="2"/>
  <c r="M20" i="6"/>
  <c r="N11" i="6"/>
  <c r="N17" i="6" s="1"/>
  <c r="K20" i="6"/>
  <c r="J20" i="6"/>
  <c r="G20" i="6"/>
  <c r="E20" i="6"/>
  <c r="H20" i="6"/>
  <c r="I20" i="6"/>
  <c r="F20" i="6"/>
  <c r="L20" i="6"/>
  <c r="F29" i="5"/>
  <c r="F34" i="5" s="1"/>
  <c r="N20" i="6" l="1"/>
  <c r="O11" i="6"/>
  <c r="O17" i="6" s="1"/>
  <c r="O20" i="6" s="1"/>
  <c r="E87" i="2"/>
  <c r="D87" i="2"/>
</calcChain>
</file>

<file path=xl/sharedStrings.xml><?xml version="1.0" encoding="utf-8"?>
<sst xmlns="http://schemas.openxmlformats.org/spreadsheetml/2006/main" count="511" uniqueCount="312">
  <si>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</si>
  <si>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</si>
  <si>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</si>
  <si>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</si>
  <si>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</si>
  <si>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</si>
  <si>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</si>
  <si>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</si>
  <si>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</si>
  <si>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</si>
  <si>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</si>
  <si>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</si>
  <si>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</si>
  <si>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</si>
  <si>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</si>
  <si>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</si>
  <si>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</si>
  <si>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</si>
  <si>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</si>
  <si>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</si>
  <si>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</si>
  <si>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</si>
  <si>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</si>
  <si>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</si>
  <si>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</si>
  <si>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</si>
  <si>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</si>
  <si>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</si>
  <si>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</si>
  <si>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</si>
  <si>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</si>
  <si>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</si>
  <si>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</si>
  <si>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</si>
  <si>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</si>
  <si>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</si>
  <si>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</si>
  <si>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</si>
  <si>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</si>
  <si>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</si>
  <si>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</si>
  <si>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</si>
  <si>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</si>
  <si>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</si>
  <si>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</si>
  <si>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</si>
  <si>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</si>
  <si>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</si>
  <si>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</si>
  <si>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</si>
  <si>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</si>
  <si>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</si>
  <si>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</si>
  <si>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</si>
  <si>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</si>
  <si>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</si>
  <si>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</si>
  <si>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</si>
  <si>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</si>
  <si>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</si>
  <si>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</si>
  <si>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</si>
  <si>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</si>
  <si>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</si>
  <si>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</si>
  <si>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</si>
  <si>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</si>
  <si>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</si>
  <si>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</si>
  <si>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</si>
  <si>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</si>
  <si>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</si>
  <si>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</si>
  <si>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</si>
  <si>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</si>
  <si>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</si>
  <si>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</si>
  <si>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</si>
  <si>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</si>
  <si>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</si>
  <si>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</si>
  <si>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</si>
  <si>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</si>
  <si>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</si>
  <si>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</si>
  <si>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</si>
  <si>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</si>
  <si>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</si>
  <si>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</si>
  <si>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</si>
  <si>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</si>
  <si>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</si>
  <si>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</si>
  <si>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</si>
  <si>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</si>
  <si>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</si>
  <si>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</si>
  <si>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</si>
  <si>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</si>
  <si>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</si>
  <si>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</si>
  <si>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</si>
  <si>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</si>
  <si>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</si>
  <si>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</si>
  <si>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</si>
  <si>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</si>
  <si>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</si>
  <si>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</si>
  <si>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</si>
  <si>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</si>
  <si>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</si>
  <si>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</si>
  <si>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</si>
  <si>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</si>
  <si>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</si>
  <si>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</si>
  <si>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</si>
  <si>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</si>
  <si>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</si>
  <si>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</si>
  <si>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</si>
  <si>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</si>
  <si>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</si>
  <si>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</si>
  <si>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</si>
  <si>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</si>
  <si>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</si>
  <si>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</si>
  <si>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</si>
  <si>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</si>
  <si>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</si>
  <si>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</si>
  <si>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</si>
  <si>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</si>
  <si>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</si>
  <si>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</si>
  <si>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</si>
  <si>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</si>
  <si>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</si>
  <si>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</si>
  <si>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</si>
  <si>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</si>
  <si>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</si>
  <si>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</si>
  <si>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</si>
  <si>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</si>
  <si>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</si>
  <si>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</si>
  <si>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</si>
  <si>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</si>
  <si>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</si>
  <si>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</si>
  <si>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</si>
  <si>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</si>
  <si>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</si>
  <si>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</si>
  <si>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</si>
  <si>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</si>
  <si>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</si>
  <si>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</si>
  <si>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</si>
  <si>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</si>
  <si>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</si>
  <si>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</si>
  <si>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</si>
  <si>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</si>
  <si>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</si>
  <si>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</si>
  <si>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</si>
  <si>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</si>
  <si>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</si>
  <si>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</si>
  <si>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</si>
  <si>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</si>
  <si>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</si>
  <si>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</si>
  <si>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</si>
  <si>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</si>
  <si>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</si>
  <si>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</si>
  <si>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</si>
  <si>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</si>
  <si>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</si>
  <si>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</si>
  <si>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</si>
  <si>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</si>
  <si>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</si>
  <si>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</si>
  <si>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60030 Miscellaneous Taxes &amp; Fees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</si>
  <si>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</si>
  <si>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</si>
  <si>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</si>
  <si>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</si>
  <si>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</si>
  <si>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</si>
  <si>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</si>
  <si>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</si>
  <si>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</si>
  <si>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</si>
  <si>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</si>
  <si>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</si>
  <si>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PPP</t>
  </si>
  <si>
    <t xml:space="preserve">      45300 Realized Gains and Losses</t>
  </si>
  <si>
    <t>temporary help</t>
  </si>
  <si>
    <t xml:space="preserve">   60013 Vanguard Investment Fees</t>
  </si>
  <si>
    <t>Fiscal 2023</t>
  </si>
  <si>
    <t>Assets</t>
  </si>
  <si>
    <t>end of Mar</t>
  </si>
  <si>
    <t>say</t>
  </si>
  <si>
    <t>L &amp; L Budget exp</t>
  </si>
  <si>
    <t>Personnel</t>
  </si>
  <si>
    <t>Supplies</t>
  </si>
  <si>
    <t>Amy</t>
  </si>
  <si>
    <t>Kim</t>
  </si>
  <si>
    <t>rate</t>
  </si>
  <si>
    <t>per week</t>
  </si>
  <si>
    <t>extended</t>
  </si>
  <si>
    <t>Linda</t>
  </si>
  <si>
    <t>hrs</t>
  </si>
  <si>
    <t>weeks</t>
  </si>
  <si>
    <t>Website</t>
  </si>
  <si>
    <t>Merissa</t>
  </si>
  <si>
    <t>Month</t>
  </si>
  <si>
    <t>Incentive Grant</t>
  </si>
  <si>
    <t>Incentive</t>
  </si>
  <si>
    <t>Ann</t>
  </si>
  <si>
    <t>reporting</t>
  </si>
  <si>
    <t>3 hours</t>
  </si>
  <si>
    <t xml:space="preserve">Ann </t>
  </si>
  <si>
    <t>450/qtr</t>
  </si>
  <si>
    <t>tax benefits</t>
  </si>
  <si>
    <t>Training</t>
  </si>
  <si>
    <t>Marketing</t>
  </si>
  <si>
    <t>Travel</t>
  </si>
  <si>
    <t>Celebration</t>
  </si>
  <si>
    <t>paper</t>
  </si>
  <si>
    <t>toner</t>
  </si>
  <si>
    <t>Promotional</t>
  </si>
  <si>
    <t>Social Media</t>
  </si>
  <si>
    <t>Marketing:</t>
  </si>
  <si>
    <t>per JfedShawtrip</t>
  </si>
  <si>
    <t>Pa</t>
  </si>
  <si>
    <t>Mercer</t>
  </si>
  <si>
    <t># of trips</t>
  </si>
  <si>
    <t>Full</t>
  </si>
  <si>
    <t>Based on</t>
  </si>
  <si>
    <t>Staff in 2022</t>
  </si>
  <si>
    <t>Program</t>
  </si>
  <si>
    <t>L &amp; L New Program</t>
  </si>
  <si>
    <t>Col M +   Col P</t>
  </si>
  <si>
    <t>Allocated</t>
  </si>
  <si>
    <t>Budget for Continuing Operations</t>
  </si>
  <si>
    <t>Annual Budget</t>
  </si>
  <si>
    <t>Additional Revenue and Spending for L&amp;L Program</t>
  </si>
  <si>
    <t>Total Budget</t>
  </si>
  <si>
    <t>Total Estimated Fiscal 2022</t>
  </si>
  <si>
    <t>Variance</t>
  </si>
  <si>
    <t>plus student helper</t>
  </si>
  <si>
    <t>July - May, 2022</t>
  </si>
  <si>
    <t xml:space="preserve">   60000 L&amp;L Event</t>
  </si>
  <si>
    <t>Friday, Jun 10, 2022 01:44:15 PM GMT-7 - Accrual Basis</t>
  </si>
  <si>
    <t>12.31.2021</t>
  </si>
  <si>
    <t>High</t>
  </si>
  <si>
    <t>Actual  July 21- May 22</t>
  </si>
  <si>
    <t xml:space="preserve">      L &amp; L HGF Grant</t>
  </si>
  <si>
    <t xml:space="preserve">      Withdrawal from Reserves</t>
  </si>
  <si>
    <t xml:space="preserve">     Celebrations</t>
  </si>
  <si>
    <t xml:space="preserve">     Incentive</t>
  </si>
  <si>
    <t xml:space="preserve">     Training</t>
  </si>
  <si>
    <t>Estimated June</t>
  </si>
  <si>
    <t>Fiscal Year 2023</t>
  </si>
  <si>
    <t>FY 2013 - FY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</si>
  <si>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</si>
  <si>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</si>
  <si>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</si>
  <si>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</si>
  <si>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</si>
  <si>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</si>
  <si>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Statement of Activity by Class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</si>
  <si>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</si>
  <si>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</si>
  <si>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</si>
  <si>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</si>
  <si>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</si>
  <si>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</si>
  <si>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</si>
  <si>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</si>
  <si>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Netcentric IT Management, Inc.</t>
  </si>
  <si>
    <t>less revenue than budget</t>
  </si>
  <si>
    <t>less expense than budget</t>
  </si>
  <si>
    <t>greater expense than budget</t>
  </si>
  <si>
    <t>A/R Aging Summary</t>
  </si>
  <si>
    <t>Revenue shortfall</t>
  </si>
  <si>
    <t>Expense less than budget</t>
  </si>
  <si>
    <t>Today</t>
  </si>
  <si>
    <t>Non-profit Accounting Solutions, LLC</t>
  </si>
  <si>
    <t>actual</t>
  </si>
  <si>
    <t>budget</t>
  </si>
  <si>
    <t>Operating</t>
  </si>
  <si>
    <t>Grinspoon Foundation</t>
  </si>
  <si>
    <t>Asset Summary as of February 28, 2023</t>
  </si>
  <si>
    <t>02.28.2023</t>
  </si>
  <si>
    <t>As of February 28, 2023</t>
  </si>
  <si>
    <t>Saturday, Mar 25, 2023 05:31:34 PM GMT-7 - Accrual Basis</t>
  </si>
  <si>
    <t>July 2022 - February 2023</t>
  </si>
  <si>
    <t>Saturday, Mar 25, 2023 05:32:50 PM GMT-7 - Accrual Basis</t>
  </si>
  <si>
    <t>Saturday, Mar 25, 2023 05:33:47 PM GMT-7 - Accrual Basis</t>
  </si>
  <si>
    <t>Adina Langer</t>
  </si>
  <si>
    <t>BKC, CPAs</t>
  </si>
  <si>
    <t>Saturday, Mar 25, 2023 05:36:05 PM GMT-7</t>
  </si>
  <si>
    <t>Saturday, Mar 25, 2023 05:35:33 PM GMT-7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</si>
</sst>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  <numFmt numFmtId="172" formatCode="&quot;$&quot;* #,##0\ _€"/>
    <numFmt numFmtId="173" formatCode="0.000%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12" fillId="0" borderId="0" xfId="4" quotePrefix="1" applyFont="1"/>
    <xf numFmtId="43" fontId="0" fillId="0" borderId="0" xfId="1" applyFont="1"/>
    <xf numFmtId="167" fontId="0" fillId="0" borderId="0" xfId="1" applyNumberFormat="1" applyFont="1"/>
    <xf numFmtId="167" fontId="0" fillId="0" borderId="0" xfId="1" applyNumberFormat="1" applyFont="1" applyFill="1"/>
    <xf numFmtId="0" fontId="5" fillId="0" borderId="0" xfId="0" applyFont="1" applyAlignment="1">
      <alignment horizontal="center" wrapText="1"/>
    </xf>
    <xf numFmtId="164" fontId="3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13" xfId="0" applyBorder="1"/>
    <xf numFmtId="43" fontId="0" fillId="0" borderId="1" xfId="0" applyNumberFormat="1" applyBorder="1"/>
    <xf numFmtId="0" fontId="2" fillId="0" borderId="0" xfId="0" applyFont="1"/>
    <xf numFmtId="0" fontId="0" fillId="0" borderId="2" xfId="0" applyBorder="1"/>
    <xf numFmtId="43" fontId="0" fillId="0" borderId="3" xfId="0" applyNumberFormat="1" applyBorder="1"/>
    <xf numFmtId="0" fontId="0" fillId="0" borderId="1" xfId="0" applyBorder="1"/>
    <xf numFmtId="164" fontId="3" fillId="0" borderId="13" xfId="0" applyNumberFormat="1" applyFont="1" applyBorder="1" applyAlignment="1">
      <alignment horizontal="right" wrapText="1"/>
    </xf>
    <xf numFmtId="164" fontId="3" fillId="0" borderId="14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wrapText="1"/>
    </xf>
    <xf numFmtId="164" fontId="3" fillId="0" borderId="17" xfId="0" applyNumberFormat="1" applyFont="1" applyBorder="1" applyAlignment="1">
      <alignment horizontal="right" wrapText="1"/>
    </xf>
    <xf numFmtId="164" fontId="3" fillId="0" borderId="18" xfId="0" applyNumberFormat="1" applyFont="1" applyBorder="1" applyAlignment="1">
      <alignment horizontal="right" wrapText="1"/>
    </xf>
    <xf numFmtId="164" fontId="3" fillId="0" borderId="19" xfId="0" applyNumberFormat="1" applyFont="1" applyBorder="1" applyAlignment="1">
      <alignment horizontal="right" wrapText="1"/>
    </xf>
    <xf numFmtId="165" fontId="4" fillId="0" borderId="20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4" fontId="3" fillId="0" borderId="22" xfId="0" applyNumberFormat="1" applyFont="1" applyBorder="1" applyAlignment="1">
      <alignment horizontal="right" wrapText="1"/>
    </xf>
    <xf numFmtId="164" fontId="3" fillId="0" borderId="23" xfId="0" applyNumberFormat="1" applyFont="1" applyBorder="1" applyAlignment="1">
      <alignment horizontal="right" wrapText="1"/>
    </xf>
    <xf numFmtId="164" fontId="3" fillId="0" borderId="24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67" fontId="3" fillId="0" borderId="0" xfId="1" applyNumberFormat="1" applyFont="1" applyFill="1" applyAlignment="1">
      <alignment horizontal="right" wrapText="1"/>
    </xf>
    <xf numFmtId="167" fontId="4" fillId="0" borderId="2" xfId="1" applyNumberFormat="1" applyFont="1" applyBorder="1" applyAlignment="1">
      <alignment horizontal="right" wrapText="1"/>
    </xf>
    <xf numFmtId="167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167" fontId="4" fillId="0" borderId="0" xfId="1" applyNumberFormat="1" applyFont="1" applyBorder="1" applyAlignment="1">
      <alignment horizontal="right" wrapText="1"/>
    </xf>
    <xf numFmtId="0" fontId="5" fillId="0" borderId="28" xfId="0" applyFont="1" applyBorder="1" applyAlignment="1">
      <alignment horizontal="center" wrapText="1"/>
    </xf>
    <xf numFmtId="43" fontId="0" fillId="0" borderId="29" xfId="1" applyFont="1" applyBorder="1"/>
    <xf numFmtId="167" fontId="3" fillId="0" borderId="29" xfId="1" applyNumberFormat="1" applyFont="1" applyBorder="1" applyAlignment="1">
      <alignment horizontal="right" wrapText="1"/>
    </xf>
    <xf numFmtId="167" fontId="4" fillId="0" borderId="30" xfId="1" applyNumberFormat="1" applyFont="1" applyBorder="1" applyAlignment="1">
      <alignment horizontal="right" wrapText="1"/>
    </xf>
    <xf numFmtId="167" fontId="3" fillId="0" borderId="29" xfId="1" applyNumberFormat="1" applyFont="1" applyBorder="1" applyAlignment="1">
      <alignment wrapText="1"/>
    </xf>
    <xf numFmtId="167" fontId="12" fillId="0" borderId="1" xfId="1" applyNumberFormat="1" applyFont="1" applyBorder="1"/>
    <xf numFmtId="172" fontId="4" fillId="0" borderId="2" xfId="0" applyNumberFormat="1" applyFont="1" applyBorder="1" applyAlignment="1">
      <alignment horizontal="right" wrapText="1"/>
    </xf>
    <xf numFmtId="167" fontId="4" fillId="0" borderId="12" xfId="1" applyNumberFormat="1" applyFont="1" applyBorder="1" applyAlignment="1">
      <alignment horizontal="right" wrapText="1"/>
    </xf>
    <xf numFmtId="167" fontId="4" fillId="0" borderId="31" xfId="1" applyNumberFormat="1" applyFont="1" applyBorder="1" applyAlignment="1">
      <alignment horizontal="right" wrapText="1"/>
    </xf>
    <xf numFmtId="172" fontId="4" fillId="0" borderId="30" xfId="0" applyNumberFormat="1" applyFont="1" applyBorder="1" applyAlignment="1">
      <alignment horizontal="right" wrapText="1"/>
    </xf>
    <xf numFmtId="167" fontId="3" fillId="0" borderId="0" xfId="1" applyNumberFormat="1" applyFont="1" applyFill="1" applyAlignment="1">
      <alignment wrapText="1"/>
    </xf>
    <xf numFmtId="167" fontId="3" fillId="0" borderId="30" xfId="1" applyNumberFormat="1" applyFont="1" applyBorder="1" applyAlignment="1">
      <alignment horizontal="right" wrapText="1"/>
    </xf>
    <xf numFmtId="0" fontId="0" fillId="0" borderId="29" xfId="0" applyBorder="1"/>
    <xf numFmtId="167" fontId="4" fillId="0" borderId="0" xfId="1" applyNumberFormat="1" applyFont="1" applyAlignment="1">
      <alignment horizontal="right" wrapText="1"/>
    </xf>
    <xf numFmtId="167" fontId="4" fillId="0" borderId="29" xfId="1" applyNumberFormat="1" applyFont="1" applyBorder="1" applyAlignment="1">
      <alignment horizontal="right" wrapText="1"/>
    </xf>
    <xf numFmtId="167" fontId="4" fillId="0" borderId="0" xfId="1" applyNumberFormat="1" applyFont="1" applyFill="1" applyAlignment="1">
      <alignment horizontal="right" wrapText="1"/>
    </xf>
    <xf numFmtId="167" fontId="3" fillId="0" borderId="0" xfId="1" applyNumberFormat="1" applyFont="1" applyBorder="1" applyAlignment="1">
      <alignment wrapText="1"/>
    </xf>
    <xf numFmtId="167" fontId="3" fillId="0" borderId="0" xfId="1" applyNumberFormat="1" applyFont="1" applyBorder="1" applyAlignment="1">
      <alignment horizontal="right" wrapText="1"/>
    </xf>
    <xf numFmtId="165" fontId="4" fillId="4" borderId="2" xfId="0" applyNumberFormat="1" applyFont="1" applyFill="1" applyBorder="1" applyAlignment="1">
      <alignment horizontal="right" wrapText="1"/>
    </xf>
    <xf numFmtId="10" fontId="4" fillId="4" borderId="2" xfId="0" applyNumberFormat="1" applyFont="1" applyFill="1" applyBorder="1" applyAlignment="1">
      <alignment horizontal="right" wrapText="1"/>
    </xf>
    <xf numFmtId="13" fontId="0" fillId="0" borderId="0" xfId="1" applyNumberFormat="1" applyFont="1"/>
    <xf numFmtId="173" fontId="3" fillId="0" borderId="0" xfId="3" applyNumberFormat="1" applyFont="1" applyFill="1" applyAlignment="1">
      <alignment horizontal="right" wrapText="1"/>
    </xf>
    <xf numFmtId="0" fontId="2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0" fillId="0" borderId="1" xfId="0" applyNumberFormat="1" applyBorder="1"/>
    <xf numFmtId="44" fontId="0" fillId="0" borderId="32" xfId="0" applyNumberFormat="1" applyBorder="1"/>
    <xf numFmtId="0" fontId="22" fillId="0" borderId="0" xfId="0" applyFont="1"/>
    <xf numFmtId="169" fontId="19" fillId="0" borderId="9" xfId="1" applyNumberFormat="1" applyFont="1" applyBorder="1"/>
    <xf numFmtId="164" fontId="0" fillId="0" borderId="1" xfId="0" applyNumberFormat="1" applyBorder="1"/>
    <xf numFmtId="43" fontId="12" fillId="0" borderId="32" xfId="1" applyFont="1" applyBorder="1"/>
    <xf numFmtId="0" fontId="24" fillId="0" borderId="1" xfId="0" applyFont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164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 wrapText="1"/>
    </xf>
    <xf numFmtId="165" fontId="25" fillId="0" borderId="2" xfId="0" applyNumberFormat="1" applyFont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Y41"/>
  <sheetViews>
    <sheetView topLeftCell="B7" zoomScale="120" zoomScaleNormal="120" workbookViewId="0">
      <pane xSplit="3" ySplit="2" topLeftCell="K11" activePane="bottomRight" state="frozen"/>
      <selection activeCell="B7" sqref="B7"/>
      <selection pane="topRight" activeCell="E7" sqref="E7"/>
      <selection pane="bottomLeft" activeCell="B9" sqref="B9"/>
      <selection pane="bottomRight" activeCell="O17" sqref="O17"/>
    </sheetView>
  </sheetViews>
  <sheetFormatPr defaultColWidth="9.140625" defaultRowHeight="15" x14ac:dyDescent="0.25"/>
  <cols>
    <col min="1" max="1" width="3.5703125" style="24" hidden="1" customWidth="1"/>
    <col min="2" max="2" width="25.7109375" style="24" customWidth="1"/>
    <col min="3" max="3" width="14.85546875" style="24" customWidth="1"/>
    <col min="4" max="4" width="19.42578125" style="24" customWidth="1"/>
    <col min="5" max="5" width="12.5703125" style="24" customWidth="1"/>
    <col min="6" max="6" width="11.28515625" style="24" customWidth="1"/>
    <col min="7" max="7" width="13.28515625" style="24" customWidth="1"/>
    <col min="8" max="8" width="12" style="24" customWidth="1"/>
    <col min="9" max="9" width="10.5703125" style="24" bestFit="1" customWidth="1"/>
    <col min="10" max="10" width="13.85546875" style="24" customWidth="1"/>
    <col min="11" max="15" width="11.28515625" style="24" customWidth="1"/>
    <col min="16" max="16" width="10.42578125" style="24" customWidth="1"/>
    <col min="17" max="17" width="1.28515625" style="24" customWidth="1"/>
    <col min="18" max="18" width="1.42578125" style="24" customWidth="1"/>
    <col min="19" max="23" width="15.7109375" style="24" customWidth="1"/>
    <col min="24" max="24" width="21.7109375" style="24" bestFit="1" customWidth="1"/>
    <col min="25" max="25" width="19.42578125" style="24" bestFit="1" customWidth="1"/>
    <col min="26" max="16384" width="9.140625" style="24"/>
  </cols>
  <sheetData>
    <row r="1" spans="1:25" s="39" customFormat="1" ht="26.25" customHeight="1" x14ac:dyDescent="0.2">
      <c r="A1" s="151" t="s">
        <v>137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25" s="39" customFormat="1" ht="26.25" customHeight="1" x14ac:dyDescent="0.2">
      <c r="A2" s="151" t="s">
        <v>138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25" s="39" customFormat="1" ht="26.25" x14ac:dyDescent="0.4">
      <c r="A3" s="152" t="s">
        <v>153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25" s="39" customFormat="1" ht="26.25" x14ac:dyDescent="0.4">
      <c r="A4" s="152" t="s">
        <v>154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25" s="39" customFormat="1" ht="26.25" x14ac:dyDescent="0.2">
      <c r="A5" s="153" t="s">
        <v>139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pans="1:25" s="39" customFormat="1" ht="27.75" customHeight="1" x14ac:dyDescent="0.3">
      <c r="A6" s="40"/>
      <c r="B6" s="40"/>
      <c r="C6" s="40"/>
      <c r="D6" s="40"/>
      <c r="E6" s="40"/>
      <c r="F6" s="40"/>
      <c r="G6" s="40"/>
      <c r="H6" s="40"/>
      <c r="I6" s="40"/>
      <c r="J6" s="24"/>
      <c r="K6" s="24"/>
      <c r="L6" s="24"/>
      <c r="M6" s="24"/>
      <c r="N6" s="24"/>
      <c r="O6" s="24"/>
      <c r="P6" s="24"/>
    </row>
    <row r="7" spans="1:25" s="39" customFormat="1" x14ac:dyDescent="0.25">
      <c r="A7" s="24"/>
      <c r="B7" s="24"/>
      <c r="C7" s="24"/>
      <c r="D7" s="24"/>
      <c r="H7" s="41"/>
      <c r="I7" s="24"/>
      <c r="J7" s="24"/>
      <c r="K7" s="24"/>
      <c r="L7" s="24"/>
      <c r="M7" s="24"/>
      <c r="N7" s="24"/>
      <c r="O7" s="24"/>
      <c r="P7" s="24"/>
    </row>
    <row r="8" spans="1:25" s="39" customFormat="1" ht="45" customHeight="1" x14ac:dyDescent="0.25">
      <c r="A8" s="24"/>
      <c r="B8" s="24"/>
      <c r="C8" s="24"/>
      <c r="D8" s="24"/>
      <c r="E8" s="42" t="s">
        <v>155</v>
      </c>
      <c r="F8" s="42" t="s">
        <v>156</v>
      </c>
      <c r="G8" s="42" t="s">
        <v>157</v>
      </c>
      <c r="H8" s="42" t="s">
        <v>158</v>
      </c>
      <c r="I8" s="42" t="s">
        <v>159</v>
      </c>
      <c r="J8" s="42" t="s">
        <v>160</v>
      </c>
      <c r="K8" s="42" t="s">
        <v>161</v>
      </c>
      <c r="L8" s="42" t="s">
        <v>162</v>
      </c>
      <c r="M8" s="42" t="s">
        <v>163</v>
      </c>
      <c r="N8" s="42" t="s">
        <v>187</v>
      </c>
      <c r="O8" s="42" t="s">
        <v>271</v>
      </c>
      <c r="P8" s="43" t="s">
        <v>272</v>
      </c>
      <c r="Q8" s="44"/>
    </row>
    <row r="9" spans="1:25" s="39" customFormat="1" ht="23.25" x14ac:dyDescent="0.35">
      <c r="A9" s="24"/>
      <c r="B9" s="45" t="s">
        <v>164</v>
      </c>
      <c r="C9" s="24"/>
      <c r="D9" s="24"/>
      <c r="E9" s="46"/>
      <c r="F9" s="46"/>
      <c r="G9" s="46"/>
      <c r="H9" s="46"/>
      <c r="I9" s="46"/>
      <c r="J9" s="46"/>
      <c r="K9" s="46"/>
      <c r="L9" s="46"/>
      <c r="M9" s="24"/>
      <c r="N9" s="24"/>
      <c r="O9" s="24"/>
      <c r="P9" s="47"/>
      <c r="Q9" s="48"/>
    </row>
    <row r="10" spans="1:25" s="39" customFormat="1" x14ac:dyDescent="0.25">
      <c r="A10" s="24"/>
      <c r="B10" s="24"/>
      <c r="C10" s="24"/>
      <c r="D10" s="24"/>
      <c r="E10" s="49"/>
      <c r="F10" s="46"/>
      <c r="G10" s="46"/>
      <c r="H10" s="46"/>
      <c r="I10" s="46"/>
      <c r="J10" s="46"/>
      <c r="K10" s="46"/>
      <c r="L10" s="46"/>
      <c r="M10" s="50"/>
      <c r="N10" s="50"/>
      <c r="O10" s="50"/>
      <c r="P10" s="51"/>
      <c r="Q10" s="48"/>
    </row>
    <row r="11" spans="1:25" s="39" customFormat="1" ht="18" customHeight="1" x14ac:dyDescent="0.3">
      <c r="B11" s="52" t="s">
        <v>165</v>
      </c>
      <c r="D11" s="53"/>
      <c r="E11" s="54">
        <f>+C33/10^6</f>
        <v>6.7799264599999995</v>
      </c>
      <c r="F11" s="54">
        <f t="shared" ref="F11:L11" si="0">+E17</f>
        <v>7.355995029999999</v>
      </c>
      <c r="G11" s="54">
        <f t="shared" si="0"/>
        <v>8.8975125699999982</v>
      </c>
      <c r="H11" s="54">
        <f t="shared" si="0"/>
        <v>8.4806887299999989</v>
      </c>
      <c r="I11" s="54">
        <f t="shared" si="0"/>
        <v>8.3226854699999997</v>
      </c>
      <c r="J11" s="54">
        <f t="shared" si="0"/>
        <v>10.52460597</v>
      </c>
      <c r="K11" s="54">
        <f t="shared" si="0"/>
        <v>10.89581907</v>
      </c>
      <c r="L11" s="54">
        <f t="shared" si="0"/>
        <v>10.945213580000001</v>
      </c>
      <c r="M11" s="54">
        <f>+L17</f>
        <v>10.479769140000002</v>
      </c>
      <c r="N11" s="54">
        <f>+M17</f>
        <v>14.680762140000001</v>
      </c>
      <c r="O11" s="54">
        <f>+N17</f>
        <v>12.921371140000002</v>
      </c>
      <c r="P11" s="55">
        <f>+E11</f>
        <v>6.7799264599999995</v>
      </c>
      <c r="Q11" s="48"/>
    </row>
    <row r="12" spans="1:25" s="39" customFormat="1" ht="18" customHeight="1" x14ac:dyDescent="0.3">
      <c r="B12" s="52" t="s">
        <v>166</v>
      </c>
      <c r="D12" s="53"/>
      <c r="E12" s="54">
        <f t="shared" ref="E12:K15" si="1">+C34/10^6</f>
        <v>0.83821375999999992</v>
      </c>
      <c r="F12" s="54">
        <f t="shared" si="1"/>
        <v>1.1313998599999999</v>
      </c>
      <c r="G12" s="54">
        <f t="shared" si="1"/>
        <v>0.65697110000000014</v>
      </c>
      <c r="H12" s="54">
        <f t="shared" si="1"/>
        <v>1.3064777299999999</v>
      </c>
      <c r="I12" s="54">
        <f t="shared" si="1"/>
        <v>2.0766917600000001</v>
      </c>
      <c r="J12" s="54">
        <f t="shared" si="1"/>
        <v>1.0590322000000001</v>
      </c>
      <c r="K12" s="54">
        <f t="shared" si="1"/>
        <v>1.23016897</v>
      </c>
      <c r="L12" s="54">
        <f>+'[1]Summary of Activities Report'!$E$46/10^6</f>
        <v>0.96984260999999983</v>
      </c>
      <c r="M12" s="54">
        <f>3008866/10^6</f>
        <v>3.0088659999999998</v>
      </c>
      <c r="N12" s="54">
        <f>2573997/10^6</f>
        <v>2.5739969999999999</v>
      </c>
      <c r="O12" s="54">
        <f>1327801/10^6</f>
        <v>1.327801</v>
      </c>
      <c r="P12" s="55">
        <f>SUM(E12:O12)</f>
        <v>16.17946199</v>
      </c>
      <c r="Q12" s="48"/>
    </row>
    <row r="13" spans="1:25" s="39" customFormat="1" ht="18" customHeight="1" x14ac:dyDescent="0.3">
      <c r="B13" s="52" t="s">
        <v>167</v>
      </c>
      <c r="D13" s="53"/>
      <c r="E13" s="54">
        <f t="shared" si="1"/>
        <v>-0.94829133999999993</v>
      </c>
      <c r="F13" s="54">
        <f t="shared" si="1"/>
        <v>-0.81162242999999989</v>
      </c>
      <c r="G13" s="54">
        <f t="shared" si="1"/>
        <v>-1.09932192</v>
      </c>
      <c r="H13" s="54">
        <f t="shared" si="1"/>
        <v>-1.27069422</v>
      </c>
      <c r="I13" s="54">
        <f t="shared" si="1"/>
        <v>-0.94343860000000002</v>
      </c>
      <c r="J13" s="54">
        <f t="shared" si="1"/>
        <v>-1.4037089900000002</v>
      </c>
      <c r="K13" s="54">
        <f t="shared" si="1"/>
        <v>-1.5125359199999999</v>
      </c>
      <c r="L13" s="54">
        <f>+'[1]Summary of Activities Report'!$F$46/10^6</f>
        <v>-1.3504425</v>
      </c>
      <c r="M13" s="54">
        <f>-1406567/10^6</f>
        <v>-1.4065669999999999</v>
      </c>
      <c r="N13" s="54">
        <f>-1616209/10^6</f>
        <v>-1.616209</v>
      </c>
      <c r="O13" s="54">
        <f>-1252840/10^6</f>
        <v>-1.25284</v>
      </c>
      <c r="P13" s="55">
        <f t="shared" ref="P13:P15" si="2">SUM(E13:O13)</f>
        <v>-13.61567192</v>
      </c>
      <c r="Q13" s="48"/>
      <c r="X13" s="39" t="s">
        <v>168</v>
      </c>
    </row>
    <row r="14" spans="1:25" s="39" customFormat="1" ht="18" customHeight="1" x14ac:dyDescent="0.3">
      <c r="B14" s="52" t="s">
        <v>169</v>
      </c>
      <c r="D14" s="53"/>
      <c r="E14" s="54">
        <f>+C36/10^6</f>
        <v>0.75534582000000006</v>
      </c>
      <c r="F14" s="54">
        <f t="shared" si="1"/>
        <v>1.3001116499999998</v>
      </c>
      <c r="G14" s="54">
        <f t="shared" si="1"/>
        <v>0.11003288000000006</v>
      </c>
      <c r="H14" s="54">
        <f t="shared" si="1"/>
        <v>-0.11325913000000001</v>
      </c>
      <c r="I14" s="54">
        <f t="shared" si="1"/>
        <v>1.1585334100000002</v>
      </c>
      <c r="J14" s="54">
        <f t="shared" si="1"/>
        <v>0.82240797000000032</v>
      </c>
      <c r="K14" s="54">
        <f t="shared" si="1"/>
        <v>0.43931713000000006</v>
      </c>
      <c r="L14" s="54">
        <f>+'[1]Summary of Activities Report'!$G$47/10^6</f>
        <v>4.5046309999999999E-2</v>
      </c>
      <c r="M14" s="54">
        <f>(2715821)/10^6</f>
        <v>2.715821</v>
      </c>
      <c r="N14" s="54">
        <f>+(332282-2898796)/10^6</f>
        <v>-2.5665140000000002</v>
      </c>
      <c r="O14" s="54">
        <f>+(211608+779093)/10^6</f>
        <v>0.99070100000000005</v>
      </c>
      <c r="P14" s="55">
        <f t="shared" si="2"/>
        <v>5.6575440399999994</v>
      </c>
      <c r="Q14" s="48"/>
    </row>
    <row r="15" spans="1:25" s="39" customFormat="1" ht="18" customHeight="1" x14ac:dyDescent="0.3">
      <c r="B15" s="52" t="s">
        <v>170</v>
      </c>
      <c r="D15" s="53"/>
      <c r="E15" s="56">
        <f>+C37/10^6</f>
        <v>-6.9199670000000019E-2</v>
      </c>
      <c r="F15" s="56">
        <f t="shared" si="1"/>
        <v>-7.8371540000000031E-2</v>
      </c>
      <c r="G15" s="56">
        <f t="shared" si="1"/>
        <v>-8.4505899999999995E-2</v>
      </c>
      <c r="H15" s="56">
        <f t="shared" si="1"/>
        <v>-8.0527640000000011E-2</v>
      </c>
      <c r="I15" s="56">
        <f t="shared" si="1"/>
        <v>-8.9866070000000034E-2</v>
      </c>
      <c r="J15" s="56">
        <f t="shared" si="1"/>
        <v>-0.10651808000000003</v>
      </c>
      <c r="K15" s="56">
        <f t="shared" si="1"/>
        <v>-0.10755566999999999</v>
      </c>
      <c r="L15" s="56">
        <f>+'[1]Summary of Activities Report'!$H$46/10^6</f>
        <v>-0.12989086</v>
      </c>
      <c r="M15" s="57">
        <f>-117127/10^6</f>
        <v>-0.117127</v>
      </c>
      <c r="N15" s="56">
        <f>-150665/10^6</f>
        <v>-0.15066499999999999</v>
      </c>
      <c r="O15" s="56">
        <f>-30407/10^6</f>
        <v>-3.0407E-2</v>
      </c>
      <c r="P15" s="143">
        <f t="shared" si="2"/>
        <v>-1.0446344300000003</v>
      </c>
      <c r="Q15" s="58"/>
      <c r="Y15" s="59">
        <v>-1242047.3999999999</v>
      </c>
    </row>
    <row r="16" spans="1:25" s="39" customFormat="1" ht="18" customHeight="1" x14ac:dyDescent="0.3">
      <c r="B16" s="52"/>
      <c r="D16" s="53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55"/>
      <c r="Q16" s="48"/>
      <c r="W16" s="39" t="s">
        <v>74</v>
      </c>
      <c r="X16" s="61">
        <v>1638838.98</v>
      </c>
    </row>
    <row r="17" spans="1:25" s="39" customFormat="1" ht="19.5" thickBot="1" x14ac:dyDescent="0.35">
      <c r="B17" s="52" t="s">
        <v>171</v>
      </c>
      <c r="D17" s="53"/>
      <c r="E17" s="62">
        <f t="shared" ref="E17:N17" si="3">SUM(E11:E15)</f>
        <v>7.355995029999999</v>
      </c>
      <c r="F17" s="62">
        <f t="shared" si="3"/>
        <v>8.8975125699999982</v>
      </c>
      <c r="G17" s="62">
        <f t="shared" si="3"/>
        <v>8.4806887299999989</v>
      </c>
      <c r="H17" s="62">
        <f t="shared" si="3"/>
        <v>8.3226854699999997</v>
      </c>
      <c r="I17" s="62">
        <f t="shared" si="3"/>
        <v>10.52460597</v>
      </c>
      <c r="J17" s="62">
        <f t="shared" si="3"/>
        <v>10.89581907</v>
      </c>
      <c r="K17" s="62">
        <f t="shared" si="3"/>
        <v>10.945213580000001</v>
      </c>
      <c r="L17" s="62">
        <f t="shared" si="3"/>
        <v>10.479769140000002</v>
      </c>
      <c r="M17" s="62">
        <f t="shared" si="3"/>
        <v>14.680762140000001</v>
      </c>
      <c r="N17" s="62">
        <f t="shared" si="3"/>
        <v>12.921371140000002</v>
      </c>
      <c r="O17" s="62">
        <f t="shared" ref="O17" si="4">SUM(O11:O15)</f>
        <v>13.956626140000003</v>
      </c>
      <c r="P17" s="63">
        <f>SUM(P11:P15)</f>
        <v>13.956626139999997</v>
      </c>
      <c r="Q17" s="64"/>
      <c r="W17" s="39" t="s">
        <v>73</v>
      </c>
      <c r="X17" s="61"/>
    </row>
    <row r="18" spans="1:25" s="39" customFormat="1" ht="12.75" customHeight="1" thickTop="1" x14ac:dyDescent="0.3">
      <c r="A18" s="53"/>
      <c r="B18" s="53"/>
      <c r="D18" s="53"/>
      <c r="F18" s="24"/>
      <c r="G18" s="24"/>
      <c r="H18" s="24"/>
      <c r="I18" s="54"/>
      <c r="J18" s="24"/>
      <c r="K18" s="65"/>
      <c r="L18" s="65"/>
      <c r="M18" s="24"/>
      <c r="N18" s="24"/>
      <c r="O18" s="24"/>
      <c r="P18" s="66"/>
      <c r="Q18" s="58"/>
      <c r="W18" s="67" t="s">
        <v>72</v>
      </c>
      <c r="X18" s="61">
        <v>297559.17</v>
      </c>
      <c r="Y18" s="68">
        <f>+X18+X20</f>
        <v>2009430.2699999998</v>
      </c>
    </row>
    <row r="19" spans="1:25" s="39" customFormat="1" ht="18.75" x14ac:dyDescent="0.3">
      <c r="B19" s="8"/>
      <c r="D19" s="24"/>
      <c r="E19" s="54">
        <f>+E14+E15</f>
        <v>0.68614615000000001</v>
      </c>
      <c r="F19" s="54">
        <f t="shared" ref="F19:M19" si="5">+F14+F15</f>
        <v>1.2217401099999998</v>
      </c>
      <c r="G19" s="54">
        <f t="shared" si="5"/>
        <v>2.552698000000006E-2</v>
      </c>
      <c r="H19" s="54">
        <f t="shared" si="5"/>
        <v>-0.19378677000000002</v>
      </c>
      <c r="I19" s="54">
        <f t="shared" si="5"/>
        <v>1.0686673400000002</v>
      </c>
      <c r="J19" s="54">
        <f t="shared" si="5"/>
        <v>0.71588989000000025</v>
      </c>
      <c r="K19" s="54">
        <f t="shared" si="5"/>
        <v>0.33176146000000006</v>
      </c>
      <c r="L19" s="54">
        <f t="shared" si="5"/>
        <v>-8.4844549999999991E-2</v>
      </c>
      <c r="M19" s="54">
        <f t="shared" si="5"/>
        <v>2.5986940000000001</v>
      </c>
      <c r="N19" s="54">
        <f t="shared" ref="N19:O19" si="6">+N14+N15</f>
        <v>-2.7171790000000002</v>
      </c>
      <c r="O19" s="54">
        <f t="shared" si="6"/>
        <v>0.96029400000000009</v>
      </c>
      <c r="P19" s="54"/>
      <c r="W19" s="67" t="s">
        <v>172</v>
      </c>
      <c r="X19" s="61">
        <v>-75</v>
      </c>
    </row>
    <row r="20" spans="1:25" s="39" customFormat="1" ht="18.75" x14ac:dyDescent="0.3">
      <c r="B20" s="8"/>
      <c r="D20" s="24"/>
      <c r="E20" s="69">
        <f>+E19/E17</f>
        <v>9.3277136159239646E-2</v>
      </c>
      <c r="F20" s="69">
        <f t="shared" ref="F20:M20" si="7">+F19/F17</f>
        <v>0.13731254666831003</v>
      </c>
      <c r="G20" s="69">
        <f t="shared" si="7"/>
        <v>3.0100126077849888E-3</v>
      </c>
      <c r="H20" s="69">
        <f t="shared" si="7"/>
        <v>-2.3284163591009769E-2</v>
      </c>
      <c r="I20" s="69">
        <f t="shared" si="7"/>
        <v>0.10153989071383736</v>
      </c>
      <c r="J20" s="69">
        <f t="shared" si="7"/>
        <v>6.5703173428337799E-2</v>
      </c>
      <c r="K20" s="69">
        <f t="shared" si="7"/>
        <v>3.0311099694410901E-2</v>
      </c>
      <c r="L20" s="69">
        <f t="shared" si="7"/>
        <v>-8.0960323521019825E-3</v>
      </c>
      <c r="M20" s="69">
        <f t="shared" si="7"/>
        <v>0.17701356204930652</v>
      </c>
      <c r="N20" s="69">
        <f t="shared" ref="N20:O20" si="8">+N19/N17</f>
        <v>-0.21028565548965417</v>
      </c>
      <c r="O20" s="69">
        <f t="shared" si="8"/>
        <v>6.8805597453655082E-2</v>
      </c>
      <c r="P20" s="69"/>
      <c r="W20" s="39" t="s">
        <v>71</v>
      </c>
      <c r="X20" s="61">
        <v>1711871.0999999999</v>
      </c>
    </row>
    <row r="21" spans="1:25" s="39" customFormat="1" ht="18.75" customHeight="1" x14ac:dyDescent="0.25">
      <c r="A21" s="24"/>
      <c r="B21" s="70" t="s">
        <v>173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W21" s="39" t="s">
        <v>70</v>
      </c>
      <c r="X21" s="61">
        <v>-85190.720000000001</v>
      </c>
    </row>
    <row r="22" spans="1:25" s="39" customFormat="1" ht="18.75" customHeight="1" x14ac:dyDescent="0.25">
      <c r="A22" s="24"/>
      <c r="B22" s="70" t="s">
        <v>174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W22" s="39" t="s">
        <v>69</v>
      </c>
      <c r="X22" s="61">
        <v>3563003.53</v>
      </c>
    </row>
    <row r="23" spans="1:25" ht="18.75" x14ac:dyDescent="0.3">
      <c r="A23" s="71"/>
      <c r="B23" s="72"/>
      <c r="W23" s="24" t="s">
        <v>67</v>
      </c>
      <c r="X23" s="59"/>
    </row>
    <row r="24" spans="1:25" ht="24" thickBot="1" x14ac:dyDescent="0.4">
      <c r="A24" s="71"/>
      <c r="B24" s="45" t="s">
        <v>175</v>
      </c>
      <c r="E24" s="73">
        <v>69</v>
      </c>
      <c r="F24" s="73">
        <v>77</v>
      </c>
      <c r="G24" s="73">
        <v>89</v>
      </c>
      <c r="H24" s="73">
        <v>103</v>
      </c>
      <c r="I24" s="73">
        <v>119</v>
      </c>
      <c r="J24" s="73">
        <v>122</v>
      </c>
      <c r="K24" s="73">
        <v>122</v>
      </c>
      <c r="L24" s="73">
        <v>121</v>
      </c>
      <c r="M24" s="73">
        <f>+L24</f>
        <v>121</v>
      </c>
      <c r="N24" s="73">
        <f>30+74+11+24</f>
        <v>139</v>
      </c>
      <c r="O24" s="73">
        <f>78+31+11+24</f>
        <v>144</v>
      </c>
      <c r="P24" s="73"/>
      <c r="W24" s="24" t="s">
        <v>66</v>
      </c>
      <c r="X24" s="59"/>
    </row>
    <row r="25" spans="1:25" ht="15.75" thickTop="1" x14ac:dyDescent="0.25">
      <c r="W25" s="24" t="s">
        <v>65</v>
      </c>
    </row>
    <row r="26" spans="1:25" x14ac:dyDescent="0.25">
      <c r="B26" s="39"/>
      <c r="X26" s="59">
        <v>2320956.13</v>
      </c>
    </row>
    <row r="27" spans="1:25" x14ac:dyDescent="0.25">
      <c r="X27" s="59"/>
    </row>
    <row r="29" spans="1:25" x14ac:dyDescent="0.25">
      <c r="B29" s="77" t="s">
        <v>176</v>
      </c>
      <c r="C29" s="74" t="s">
        <v>177</v>
      </c>
      <c r="D29"/>
      <c r="E29"/>
      <c r="F29"/>
      <c r="G29"/>
      <c r="H29"/>
      <c r="I29"/>
      <c r="J29"/>
    </row>
    <row r="30" spans="1:25" x14ac:dyDescent="0.25">
      <c r="B30"/>
      <c r="C30"/>
      <c r="D30"/>
      <c r="E30"/>
      <c r="F30"/>
      <c r="G30"/>
      <c r="H30"/>
      <c r="I30"/>
      <c r="J30"/>
    </row>
    <row r="31" spans="1:25" x14ac:dyDescent="0.25">
      <c r="B31" s="74"/>
      <c r="C31" s="77" t="s">
        <v>178</v>
      </c>
      <c r="D31" s="74"/>
      <c r="E31" s="74"/>
      <c r="F31" s="74"/>
      <c r="G31" s="74"/>
      <c r="H31" s="74"/>
      <c r="I31" s="74"/>
      <c r="J31" s="74"/>
    </row>
    <row r="32" spans="1:25" x14ac:dyDescent="0.25">
      <c r="B32" s="77" t="s">
        <v>179</v>
      </c>
      <c r="C32" s="74">
        <v>13</v>
      </c>
      <c r="D32" s="74">
        <v>14</v>
      </c>
      <c r="E32" s="74">
        <v>15</v>
      </c>
      <c r="F32" s="74">
        <v>16</v>
      </c>
      <c r="G32" s="74">
        <v>17</v>
      </c>
      <c r="H32" s="74">
        <v>18</v>
      </c>
      <c r="I32" s="74">
        <v>19</v>
      </c>
      <c r="J32" s="74" t="s">
        <v>180</v>
      </c>
    </row>
    <row r="33" spans="2:10" x14ac:dyDescent="0.25">
      <c r="B33" s="75" t="s">
        <v>181</v>
      </c>
      <c r="C33" s="75">
        <v>6779926.46</v>
      </c>
      <c r="D33" s="75">
        <v>7355995.04</v>
      </c>
      <c r="E33" s="75">
        <v>8897512.5799999945</v>
      </c>
      <c r="F33" s="76">
        <v>8480688.7400000002</v>
      </c>
      <c r="G33" s="75">
        <v>8322685.4800000004</v>
      </c>
      <c r="H33" s="75">
        <v>10524606.049999999</v>
      </c>
      <c r="I33" s="75">
        <v>10895819.149999999</v>
      </c>
      <c r="J33" s="75">
        <v>61257233.499999993</v>
      </c>
    </row>
    <row r="34" spans="2:10" x14ac:dyDescent="0.25">
      <c r="B34" s="75" t="s">
        <v>182</v>
      </c>
      <c r="C34" s="75">
        <v>838213.75999999989</v>
      </c>
      <c r="D34" s="75">
        <v>1131399.8599999999</v>
      </c>
      <c r="E34" s="75">
        <v>656971.10000000009</v>
      </c>
      <c r="F34" s="76">
        <v>1306477.73</v>
      </c>
      <c r="G34" s="75">
        <v>2076691.76</v>
      </c>
      <c r="H34" s="75">
        <v>1059032.2000000002</v>
      </c>
      <c r="I34" s="75">
        <v>1230168.97</v>
      </c>
      <c r="J34" s="75">
        <v>8298955.3799999999</v>
      </c>
    </row>
    <row r="35" spans="2:10" x14ac:dyDescent="0.25">
      <c r="B35" s="75" t="s">
        <v>183</v>
      </c>
      <c r="C35" s="75">
        <v>-948291.34</v>
      </c>
      <c r="D35" s="75">
        <v>-811622.42999999993</v>
      </c>
      <c r="E35" s="75">
        <v>-1099321.92</v>
      </c>
      <c r="F35" s="76">
        <v>-1270694.22</v>
      </c>
      <c r="G35" s="75">
        <v>-943438.6</v>
      </c>
      <c r="H35" s="75">
        <v>-1403708.9900000002</v>
      </c>
      <c r="I35" s="75">
        <v>-1512535.92</v>
      </c>
      <c r="J35" s="75">
        <v>-7989613.4199999999</v>
      </c>
    </row>
    <row r="36" spans="2:10" x14ac:dyDescent="0.25">
      <c r="B36" s="75" t="s">
        <v>184</v>
      </c>
      <c r="C36" s="75">
        <v>755345.82000000007</v>
      </c>
      <c r="D36" s="75">
        <v>1300111.6499999999</v>
      </c>
      <c r="E36" s="75">
        <v>110032.88000000005</v>
      </c>
      <c r="F36" s="76">
        <v>-113259.13000000002</v>
      </c>
      <c r="G36" s="75">
        <v>1158533.4100000001</v>
      </c>
      <c r="H36" s="75">
        <v>822407.97000000032</v>
      </c>
      <c r="I36" s="75">
        <v>439317.13000000006</v>
      </c>
      <c r="J36" s="75">
        <v>4472489.7300000004</v>
      </c>
    </row>
    <row r="37" spans="2:10" x14ac:dyDescent="0.25">
      <c r="B37" s="75" t="s">
        <v>185</v>
      </c>
      <c r="C37" s="75">
        <v>-69199.670000000013</v>
      </c>
      <c r="D37" s="75">
        <v>-78371.540000000037</v>
      </c>
      <c r="E37" s="75">
        <v>-84505.9</v>
      </c>
      <c r="F37" s="76">
        <v>-80527.640000000014</v>
      </c>
      <c r="G37" s="75">
        <v>-89866.070000000036</v>
      </c>
      <c r="H37" s="75">
        <v>-106518.08000000003</v>
      </c>
      <c r="I37" s="75">
        <v>-107555.67</v>
      </c>
      <c r="J37" s="75">
        <v>-616544.57000000007</v>
      </c>
    </row>
    <row r="38" spans="2:10" x14ac:dyDescent="0.25">
      <c r="B38" s="75" t="s">
        <v>186</v>
      </c>
      <c r="C38" s="75">
        <v>7355995.04</v>
      </c>
      <c r="D38" s="75">
        <v>8897512.5799999945</v>
      </c>
      <c r="E38" s="75">
        <v>8480688.7400000002</v>
      </c>
      <c r="F38" s="76">
        <v>8322685.4800000004</v>
      </c>
      <c r="G38" s="75">
        <v>10524606.049999999</v>
      </c>
      <c r="H38" s="75">
        <v>10895819.15</v>
      </c>
      <c r="I38" s="75">
        <v>10945213.660000002</v>
      </c>
      <c r="J38" s="75">
        <v>65422520.699999996</v>
      </c>
    </row>
    <row r="39" spans="2:10" x14ac:dyDescent="0.25">
      <c r="B39"/>
      <c r="C39"/>
      <c r="D39"/>
      <c r="E39"/>
      <c r="F39" s="75"/>
      <c r="G39"/>
      <c r="H39"/>
      <c r="I39"/>
      <c r="J39"/>
    </row>
    <row r="40" spans="2:10" x14ac:dyDescent="0.25">
      <c r="I40" s="24" t="e">
        <f>+GETPIVOTDATA("Sum of Beginning Balance",'[2]SOA Jul19_Apr20'!$D$134)</f>
        <v>#REF!</v>
      </c>
    </row>
    <row r="41" spans="2:10" x14ac:dyDescent="0.25">
      <c r="I41" s="24" t="e">
        <f>+I40-GETPIVOTDATA("Sum of Ending Balance",$B$31,"FY",19)</f>
        <v>#REF!</v>
      </c>
    </row>
  </sheetData>
  <mergeCells count="5">
    <mergeCell ref="A1:P1"/>
    <mergeCell ref="A2:P2"/>
    <mergeCell ref="A3:P3"/>
    <mergeCell ref="A4:P4"/>
    <mergeCell ref="A5:P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C44"/>
  <sheetViews>
    <sheetView topLeftCell="A10" zoomScale="120" zoomScaleNormal="120" workbookViewId="0">
      <selection activeCell="I34" sqref="I34:I35"/>
    </sheetView>
  </sheetViews>
  <sheetFormatPr defaultColWidth="9.140625" defaultRowHeight="15" x14ac:dyDescent="0.25"/>
  <cols>
    <col min="1" max="1" width="5.42578125" style="8" customWidth="1"/>
    <col min="2" max="2" width="33.85546875" style="8" customWidth="1"/>
    <col min="3" max="3" width="14.5703125" style="8" customWidth="1"/>
    <col min="4" max="4" width="14.7109375" style="8" bestFit="1" customWidth="1"/>
    <col min="5" max="5" width="5.140625" style="8" customWidth="1"/>
    <col min="6" max="6" width="14.28515625" style="8" bestFit="1" customWidth="1"/>
    <col min="7" max="8" width="10.28515625" style="8" customWidth="1"/>
    <col min="9" max="9" width="15.140625" style="8" bestFit="1" customWidth="1"/>
    <col min="10" max="12" width="10.28515625" style="8" customWidth="1"/>
    <col min="13" max="13" width="13.5703125" style="8" bestFit="1" customWidth="1"/>
    <col min="14" max="14" width="13.28515625" style="8" bestFit="1" customWidth="1"/>
    <col min="15" max="19" width="10.28515625" style="8" customWidth="1"/>
    <col min="20" max="20" width="14.28515625" style="8" bestFit="1" customWidth="1"/>
    <col min="21" max="21" width="12.5703125" style="8" customWidth="1"/>
    <col min="22" max="22" width="11.28515625" style="8" bestFit="1" customWidth="1"/>
    <col min="23" max="24" width="9.140625" style="8"/>
    <col min="25" max="25" width="16.5703125" style="8" customWidth="1"/>
    <col min="26" max="26" width="15.7109375" style="8" customWidth="1"/>
    <col min="27" max="27" width="16.85546875" style="8" customWidth="1"/>
    <col min="28" max="16384" width="9.140625" style="8"/>
  </cols>
  <sheetData>
    <row r="1" spans="2:29" ht="18" customHeight="1" x14ac:dyDescent="0.25">
      <c r="B1" s="154" t="s">
        <v>137</v>
      </c>
      <c r="C1" s="154"/>
      <c r="D1" s="154"/>
      <c r="E1" s="154"/>
      <c r="F1" s="154"/>
    </row>
    <row r="2" spans="2:29" ht="21" x14ac:dyDescent="0.25">
      <c r="B2" s="154" t="s">
        <v>138</v>
      </c>
      <c r="C2" s="154"/>
      <c r="D2" s="154"/>
      <c r="E2" s="154"/>
      <c r="F2" s="154"/>
    </row>
    <row r="3" spans="2:29" ht="21" customHeight="1" x14ac:dyDescent="0.25">
      <c r="B3" s="154" t="s">
        <v>301</v>
      </c>
      <c r="C3" s="154"/>
      <c r="D3" s="154"/>
      <c r="E3" s="154"/>
      <c r="F3" s="154"/>
    </row>
    <row r="4" spans="2:29" ht="18" customHeight="1" x14ac:dyDescent="0.25">
      <c r="B4" s="154" t="s">
        <v>139</v>
      </c>
      <c r="C4" s="154"/>
      <c r="D4" s="154"/>
      <c r="E4" s="154"/>
      <c r="F4" s="154"/>
    </row>
    <row r="6" spans="2:29" ht="12.95" customHeight="1" x14ac:dyDescent="0.25">
      <c r="D6" s="9"/>
      <c r="E6" s="10"/>
      <c r="F6" s="11"/>
      <c r="M6" s="8" t="s">
        <v>263</v>
      </c>
    </row>
    <row r="7" spans="2:29" ht="12.95" customHeight="1" x14ac:dyDescent="0.25">
      <c r="D7" s="9"/>
      <c r="E7" s="10"/>
      <c r="F7" s="12"/>
    </row>
    <row r="8" spans="2:29" ht="12.95" hidden="1" customHeight="1" x14ac:dyDescent="0.25">
      <c r="D8" s="9"/>
      <c r="E8" s="10"/>
      <c r="F8" s="11"/>
      <c r="W8"/>
      <c r="X8"/>
      <c r="Y8"/>
      <c r="Z8"/>
      <c r="AA8"/>
      <c r="AB8"/>
    </row>
    <row r="9" spans="2:29" ht="12.95" customHeight="1" x14ac:dyDescent="0.25">
      <c r="C9" s="13"/>
      <c r="D9" s="14"/>
      <c r="E9" s="15"/>
      <c r="F9" s="16" t="s">
        <v>302</v>
      </c>
      <c r="M9" s="8" t="s">
        <v>262</v>
      </c>
      <c r="N9" s="8" t="s">
        <v>257</v>
      </c>
      <c r="W9"/>
      <c r="X9"/>
      <c r="Y9"/>
      <c r="Z9"/>
      <c r="AA9"/>
      <c r="AB9"/>
    </row>
    <row r="10" spans="2:29" ht="12.95" customHeight="1" x14ac:dyDescent="0.25">
      <c r="B10" s="17" t="s">
        <v>140</v>
      </c>
      <c r="C10" s="13"/>
      <c r="D10" s="14"/>
      <c r="E10" s="15"/>
      <c r="F10" s="18"/>
      <c r="W10"/>
      <c r="X10"/>
      <c r="Y10"/>
      <c r="Z10"/>
      <c r="AA10"/>
      <c r="AB10"/>
      <c r="AC10" s="19"/>
    </row>
    <row r="11" spans="2:29" ht="12.95" customHeight="1" x14ac:dyDescent="0.25">
      <c r="B11" s="20" t="s">
        <v>141</v>
      </c>
      <c r="D11" s="21"/>
      <c r="E11" s="15"/>
      <c r="F11" s="22">
        <v>4170352.58</v>
      </c>
      <c r="M11" s="23">
        <v>3201659</v>
      </c>
      <c r="N11" s="23">
        <f>+F11-M11</f>
        <v>968693.58000000007</v>
      </c>
      <c r="T11" s="23"/>
      <c r="W11"/>
      <c r="X11"/>
      <c r="Y11"/>
      <c r="Z11"/>
      <c r="AA11"/>
      <c r="AB11"/>
      <c r="AC11" s="24"/>
    </row>
    <row r="12" spans="2:29" ht="12.95" hidden="1" customHeight="1" x14ac:dyDescent="0.25">
      <c r="D12" s="25"/>
      <c r="F12" s="18"/>
      <c r="M12" s="23"/>
      <c r="T12" s="23"/>
      <c r="W12"/>
      <c r="X12"/>
      <c r="Y12"/>
      <c r="Z12"/>
      <c r="AA12"/>
      <c r="AB12"/>
      <c r="AC12" s="24"/>
    </row>
    <row r="13" spans="2:29" ht="12.95" customHeight="1" x14ac:dyDescent="0.25">
      <c r="D13" s="25"/>
      <c r="F13" s="18"/>
      <c r="M13" s="23"/>
      <c r="T13" s="23"/>
      <c r="W13"/>
      <c r="X13"/>
      <c r="Y13"/>
      <c r="Z13"/>
      <c r="AA13"/>
      <c r="AB13"/>
      <c r="AC13" s="24"/>
    </row>
    <row r="14" spans="2:29" ht="12.95" customHeight="1" x14ac:dyDescent="0.25">
      <c r="B14" s="17" t="s">
        <v>142</v>
      </c>
      <c r="D14" s="25"/>
      <c r="F14" s="26"/>
      <c r="M14" s="23"/>
      <c r="T14" s="23"/>
      <c r="W14"/>
      <c r="X14"/>
      <c r="Y14"/>
      <c r="Z14"/>
      <c r="AA14"/>
      <c r="AB14"/>
    </row>
    <row r="15" spans="2:29" ht="12.95" hidden="1" customHeight="1" x14ac:dyDescent="0.25">
      <c r="D15" s="25"/>
      <c r="F15" s="18"/>
      <c r="M15" s="23"/>
      <c r="T15" s="23"/>
      <c r="W15"/>
      <c r="X15"/>
      <c r="Y15"/>
      <c r="Z15"/>
      <c r="AA15"/>
      <c r="AB15"/>
    </row>
    <row r="16" spans="2:29" ht="12.95" customHeight="1" x14ac:dyDescent="0.25">
      <c r="B16" s="20" t="s">
        <v>143</v>
      </c>
      <c r="C16" s="20"/>
      <c r="D16" s="25"/>
      <c r="F16" s="18">
        <v>4501654.68</v>
      </c>
      <c r="G16" s="27"/>
      <c r="H16" s="27"/>
      <c r="I16" s="27"/>
      <c r="J16" s="27"/>
      <c r="K16" s="27"/>
      <c r="L16" s="27"/>
      <c r="M16" s="27">
        <v>7176043</v>
      </c>
      <c r="N16" s="23">
        <f>+F16-M16</f>
        <v>-2674388.3200000003</v>
      </c>
      <c r="O16" s="27"/>
      <c r="P16" s="27"/>
      <c r="Q16" s="27"/>
      <c r="R16" s="27"/>
      <c r="S16" s="27"/>
      <c r="T16" s="23"/>
      <c r="U16" s="28"/>
      <c r="W16"/>
      <c r="X16"/>
      <c r="Y16"/>
      <c r="Z16"/>
      <c r="AA16"/>
      <c r="AB16"/>
    </row>
    <row r="17" spans="2:28" ht="12.95" customHeight="1" x14ac:dyDescent="0.25">
      <c r="D17" s="25"/>
      <c r="M17" s="23"/>
      <c r="T17" s="23"/>
      <c r="W17"/>
      <c r="X17"/>
      <c r="Y17"/>
      <c r="Z17"/>
      <c r="AA17"/>
      <c r="AB17"/>
    </row>
    <row r="18" spans="2:28" ht="12.95" hidden="1" customHeight="1" x14ac:dyDescent="0.25">
      <c r="D18" s="25"/>
      <c r="F18" s="18"/>
      <c r="M18" s="23"/>
      <c r="W18"/>
      <c r="X18"/>
      <c r="Y18"/>
      <c r="Z18"/>
      <c r="AA18"/>
      <c r="AB18"/>
    </row>
    <row r="19" spans="2:28" ht="12.95" customHeight="1" x14ac:dyDescent="0.25">
      <c r="B19" s="17" t="s">
        <v>144</v>
      </c>
      <c r="D19" s="25"/>
      <c r="F19" s="26"/>
      <c r="M19" s="23"/>
      <c r="W19"/>
      <c r="X19"/>
      <c r="Y19"/>
      <c r="Z19"/>
      <c r="AA19"/>
      <c r="AB19"/>
    </row>
    <row r="20" spans="2:28" ht="12.95" hidden="1" customHeight="1" x14ac:dyDescent="0.25">
      <c r="D20" s="29"/>
      <c r="F20" s="18"/>
      <c r="M20" s="23"/>
    </row>
    <row r="21" spans="2:28" ht="12.95" customHeight="1" x14ac:dyDescent="0.25">
      <c r="B21" s="20" t="s">
        <v>145</v>
      </c>
      <c r="C21" s="20"/>
      <c r="D21" s="23"/>
      <c r="F21" s="18">
        <v>671224.9</v>
      </c>
      <c r="G21" s="27"/>
      <c r="H21" s="27"/>
      <c r="I21" s="27"/>
      <c r="J21" s="27"/>
      <c r="K21" s="27"/>
      <c r="L21" s="27"/>
      <c r="M21" s="27">
        <v>846660</v>
      </c>
      <c r="N21" s="23">
        <f>+F21-M21</f>
        <v>-175435.09999999998</v>
      </c>
      <c r="O21" s="27"/>
      <c r="P21" s="27"/>
      <c r="Q21" s="27"/>
      <c r="R21" s="27"/>
      <c r="S21" s="27"/>
      <c r="T21" s="28"/>
      <c r="U21" s="28"/>
    </row>
    <row r="22" spans="2:28" ht="12.95" customHeight="1" x14ac:dyDescent="0.25">
      <c r="D22" s="23"/>
      <c r="F22" s="18"/>
      <c r="M22" s="23"/>
    </row>
    <row r="23" spans="2:28" ht="12.95" hidden="1" customHeight="1" x14ac:dyDescent="0.25">
      <c r="F23" s="18"/>
      <c r="M23" s="23"/>
    </row>
    <row r="24" spans="2:28" ht="12.95" customHeight="1" x14ac:dyDescent="0.25">
      <c r="B24" s="17" t="s">
        <v>188</v>
      </c>
      <c r="F24" s="30">
        <v>4349816.7</v>
      </c>
      <c r="M24" s="23">
        <v>4752663</v>
      </c>
      <c r="N24" s="23">
        <f>+F24-M24</f>
        <v>-402846.29999999981</v>
      </c>
    </row>
    <row r="25" spans="2:28" ht="12.95" hidden="1" customHeight="1" x14ac:dyDescent="0.25">
      <c r="F25" s="31"/>
      <c r="M25" s="23"/>
    </row>
    <row r="26" spans="2:28" ht="12.95" customHeight="1" x14ac:dyDescent="0.25">
      <c r="F26" s="31"/>
      <c r="M26" s="23"/>
    </row>
    <row r="27" spans="2:28" ht="12.95" customHeight="1" x14ac:dyDescent="0.25">
      <c r="B27" s="17" t="s">
        <v>146</v>
      </c>
      <c r="F27" s="32">
        <v>328309.44</v>
      </c>
      <c r="I27" s="36"/>
      <c r="M27" s="121">
        <v>496286</v>
      </c>
      <c r="N27" s="121">
        <f>+F27-M27</f>
        <v>-167976.56</v>
      </c>
    </row>
    <row r="28" spans="2:28" ht="12.95" customHeight="1" x14ac:dyDescent="0.25">
      <c r="B28" s="17"/>
      <c r="I28" s="36" t="s">
        <v>295</v>
      </c>
      <c r="U28" s="33"/>
    </row>
    <row r="29" spans="2:28" ht="15.75" thickBot="1" x14ac:dyDescent="0.3">
      <c r="B29" s="17" t="s">
        <v>147</v>
      </c>
      <c r="F29" s="34">
        <f>SUM(F11:F28)</f>
        <v>14021358.299999999</v>
      </c>
      <c r="I29" s="36">
        <v>13961488.09</v>
      </c>
      <c r="M29" s="34">
        <f>SUM(M11:M28)</f>
        <v>16473311</v>
      </c>
      <c r="N29" s="34">
        <f>SUM(N11:N28)</f>
        <v>-2451952.7000000002</v>
      </c>
    </row>
    <row r="30" spans="2:28" ht="15.75" thickTop="1" x14ac:dyDescent="0.25">
      <c r="B30" s="17"/>
      <c r="F30" s="35"/>
    </row>
    <row r="31" spans="2:28" x14ac:dyDescent="0.25">
      <c r="B31" s="17"/>
      <c r="F31" s="35"/>
    </row>
    <row r="32" spans="2:28" x14ac:dyDescent="0.25">
      <c r="B32" s="17"/>
      <c r="F32" s="35"/>
      <c r="I32" s="36"/>
    </row>
    <row r="33" spans="2:29" x14ac:dyDescent="0.25">
      <c r="B33" s="17"/>
      <c r="F33" s="23"/>
    </row>
    <row r="34" spans="2:29" x14ac:dyDescent="0.25">
      <c r="D34" s="8" t="s">
        <v>148</v>
      </c>
      <c r="F34" s="33">
        <f>+F29-F27</f>
        <v>13693048.859999999</v>
      </c>
      <c r="I34" s="36">
        <v>5114.01</v>
      </c>
    </row>
    <row r="35" spans="2:29" ht="15.75" thickBot="1" x14ac:dyDescent="0.3">
      <c r="I35" s="145">
        <f>+I29+I34</f>
        <v>13966602.1</v>
      </c>
    </row>
    <row r="36" spans="2:29" ht="15.75" thickTop="1" x14ac:dyDescent="0.25">
      <c r="F36" s="36"/>
      <c r="T36" s="37"/>
    </row>
    <row r="37" spans="2:29" x14ac:dyDescent="0.25">
      <c r="D37" s="84"/>
      <c r="F37" s="38"/>
    </row>
    <row r="38" spans="2:29" x14ac:dyDescent="0.25">
      <c r="F38" s="38"/>
      <c r="AC38" s="8" t="s">
        <v>149</v>
      </c>
    </row>
    <row r="39" spans="2:29" x14ac:dyDescent="0.25">
      <c r="F39" s="38"/>
      <c r="AC39" s="8" t="s">
        <v>150</v>
      </c>
    </row>
    <row r="40" spans="2:29" x14ac:dyDescent="0.25">
      <c r="F40" s="38"/>
      <c r="AC40" s="8" t="s">
        <v>151</v>
      </c>
    </row>
    <row r="41" spans="2:29" x14ac:dyDescent="0.25">
      <c r="F41" s="38"/>
      <c r="AC41" s="8" t="s">
        <v>152</v>
      </c>
    </row>
    <row r="42" spans="2:29" x14ac:dyDescent="0.25">
      <c r="F42" s="27"/>
    </row>
    <row r="43" spans="2:29" x14ac:dyDescent="0.25">
      <c r="F43" s="27"/>
    </row>
    <row r="44" spans="2:29" x14ac:dyDescent="0.25">
      <c r="F44" s="2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33" workbookViewId="0">
      <selection activeCell="B51" sqref="B51"/>
    </sheetView>
  </sheetViews>
  <sheetFormatPr defaultRowHeight="15" x14ac:dyDescent="0.25"/>
  <cols>
    <col min="1" max="1" width="43.85546875" customWidth="1"/>
    <col min="2" max="2" width="39.5703125" customWidth="1"/>
  </cols>
  <sheetData>
    <row r="1" spans="1:2" ht="18" x14ac:dyDescent="0.25">
      <c r="A1" s="157" t="s">
        <v>59</v>
      </c>
      <c r="B1" s="156"/>
    </row>
    <row r="2" spans="1:2" ht="18" x14ac:dyDescent="0.25">
      <c r="A2" s="157" t="s">
        <v>60</v>
      </c>
      <c r="B2" s="156"/>
    </row>
    <row r="3" spans="1:2" x14ac:dyDescent="0.25">
      <c r="A3" s="158" t="s">
        <v>303</v>
      </c>
      <c r="B3" s="156"/>
    </row>
    <row r="5" spans="1:2" x14ac:dyDescent="0.25">
      <c r="A5" s="1"/>
      <c r="B5" s="146" t="s">
        <v>0</v>
      </c>
    </row>
    <row r="6" spans="1:2" x14ac:dyDescent="0.25">
      <c r="A6" s="147" t="s">
        <v>1</v>
      </c>
      <c r="B6" s="148"/>
    </row>
    <row r="7" spans="1:2" x14ac:dyDescent="0.25">
      <c r="A7" s="147" t="s">
        <v>2</v>
      </c>
      <c r="B7" s="148"/>
    </row>
    <row r="8" spans="1:2" x14ac:dyDescent="0.25">
      <c r="A8" s="147" t="s">
        <v>3</v>
      </c>
      <c r="B8" s="148"/>
    </row>
    <row r="9" spans="1:2" x14ac:dyDescent="0.25">
      <c r="A9" s="147" t="s">
        <v>4</v>
      </c>
      <c r="B9" s="149">
        <f>0</f>
        <v>0</v>
      </c>
    </row>
    <row r="10" spans="1:2" x14ac:dyDescent="0.25">
      <c r="A10" s="147" t="s">
        <v>5</v>
      </c>
      <c r="B10" s="149">
        <f>5113.96</f>
        <v>5113.96</v>
      </c>
    </row>
    <row r="11" spans="1:2" x14ac:dyDescent="0.25">
      <c r="A11" s="147" t="s">
        <v>6</v>
      </c>
      <c r="B11" s="149">
        <f>6169.74</f>
        <v>6169.74</v>
      </c>
    </row>
    <row r="12" spans="1:2" x14ac:dyDescent="0.25">
      <c r="A12" s="147" t="s">
        <v>7</v>
      </c>
      <c r="B12" s="149">
        <f>19496.66</f>
        <v>19496.66</v>
      </c>
    </row>
    <row r="13" spans="1:2" x14ac:dyDescent="0.25">
      <c r="A13" s="147" t="s">
        <v>8</v>
      </c>
      <c r="B13" s="149">
        <f>684.14</f>
        <v>684.14</v>
      </c>
    </row>
    <row r="14" spans="1:2" x14ac:dyDescent="0.25">
      <c r="A14" s="147" t="s">
        <v>9</v>
      </c>
      <c r="B14" s="150">
        <f>((((B9)+(B10))+(B11))+(B12))+(B13)</f>
        <v>31464.5</v>
      </c>
    </row>
    <row r="15" spans="1:2" x14ac:dyDescent="0.25">
      <c r="A15" s="147" t="s">
        <v>10</v>
      </c>
      <c r="B15" s="148"/>
    </row>
    <row r="16" spans="1:2" x14ac:dyDescent="0.25">
      <c r="A16" s="147" t="s">
        <v>11</v>
      </c>
      <c r="B16" s="149">
        <f>26666.72</f>
        <v>26666.720000000001</v>
      </c>
    </row>
    <row r="17" spans="1:2" x14ac:dyDescent="0.25">
      <c r="A17" s="147" t="s">
        <v>12</v>
      </c>
      <c r="B17" s="150">
        <f>B16</f>
        <v>26666.720000000001</v>
      </c>
    </row>
    <row r="18" spans="1:2" x14ac:dyDescent="0.25">
      <c r="A18" s="147" t="s">
        <v>13</v>
      </c>
      <c r="B18" s="148"/>
    </row>
    <row r="19" spans="1:2" x14ac:dyDescent="0.25">
      <c r="A19" s="147" t="s">
        <v>14</v>
      </c>
      <c r="B19" s="149">
        <f>0</f>
        <v>0</v>
      </c>
    </row>
    <row r="20" spans="1:2" x14ac:dyDescent="0.25">
      <c r="A20" s="147" t="s">
        <v>15</v>
      </c>
      <c r="B20" s="150">
        <f>B19</f>
        <v>0</v>
      </c>
    </row>
    <row r="21" spans="1:2" x14ac:dyDescent="0.25">
      <c r="A21" s="147" t="s">
        <v>16</v>
      </c>
      <c r="B21" s="150">
        <f>((B14)+(B17))+(B20)</f>
        <v>58131.22</v>
      </c>
    </row>
    <row r="22" spans="1:2" x14ac:dyDescent="0.25">
      <c r="A22" s="147" t="s">
        <v>17</v>
      </c>
      <c r="B22" s="148"/>
    </row>
    <row r="23" spans="1:2" x14ac:dyDescent="0.25">
      <c r="A23" s="147" t="s">
        <v>18</v>
      </c>
      <c r="B23" s="149">
        <f>2328.97</f>
        <v>2328.9699999999998</v>
      </c>
    </row>
    <row r="24" spans="1:2" x14ac:dyDescent="0.25">
      <c r="A24" s="147" t="s">
        <v>19</v>
      </c>
      <c r="B24" s="149">
        <f>-1875.89</f>
        <v>-1875.89</v>
      </c>
    </row>
    <row r="25" spans="1:2" x14ac:dyDescent="0.25">
      <c r="A25" s="147" t="s">
        <v>20</v>
      </c>
      <c r="B25" s="150">
        <f>(B23)+(B24)</f>
        <v>453.0799999999997</v>
      </c>
    </row>
    <row r="26" spans="1:2" x14ac:dyDescent="0.25">
      <c r="A26" s="147" t="s">
        <v>21</v>
      </c>
      <c r="B26" s="150">
        <f>B25</f>
        <v>453.0799999999997</v>
      </c>
    </row>
    <row r="27" spans="1:2" x14ac:dyDescent="0.25">
      <c r="A27" s="147" t="s">
        <v>22</v>
      </c>
      <c r="B27" s="148"/>
    </row>
    <row r="28" spans="1:2" x14ac:dyDescent="0.25">
      <c r="A28" s="147" t="s">
        <v>23</v>
      </c>
      <c r="B28" s="149">
        <f>0</f>
        <v>0</v>
      </c>
    </row>
    <row r="29" spans="1:2" x14ac:dyDescent="0.25">
      <c r="A29" s="147" t="s">
        <v>24</v>
      </c>
      <c r="B29" s="149">
        <f>9851305.72</f>
        <v>9851305.7200000007</v>
      </c>
    </row>
    <row r="30" spans="1:2" x14ac:dyDescent="0.25">
      <c r="A30" s="147" t="s">
        <v>25</v>
      </c>
      <c r="B30" s="149">
        <f>4163585.21</f>
        <v>4163585.21</v>
      </c>
    </row>
    <row r="31" spans="1:2" x14ac:dyDescent="0.25">
      <c r="A31" s="147" t="s">
        <v>26</v>
      </c>
      <c r="B31" s="149">
        <f>4870.37</f>
        <v>4870.37</v>
      </c>
    </row>
    <row r="32" spans="1:2" x14ac:dyDescent="0.25">
      <c r="A32" s="147" t="s">
        <v>27</v>
      </c>
      <c r="B32" s="150">
        <f>(((B28)+(B29))+(B30))+(B31)</f>
        <v>14019761.299999999</v>
      </c>
    </row>
    <row r="33" spans="1:2" x14ac:dyDescent="0.25">
      <c r="A33" s="147" t="s">
        <v>28</v>
      </c>
      <c r="B33" s="149">
        <f>-2329</f>
        <v>-2329</v>
      </c>
    </row>
    <row r="34" spans="1:2" x14ac:dyDescent="0.25">
      <c r="A34" s="147" t="s">
        <v>29</v>
      </c>
      <c r="B34" s="149">
        <f>1876</f>
        <v>1876</v>
      </c>
    </row>
    <row r="35" spans="1:2" x14ac:dyDescent="0.25">
      <c r="A35" s="147" t="s">
        <v>30</v>
      </c>
      <c r="B35" s="150">
        <f>(B33)+(B34)</f>
        <v>-453</v>
      </c>
    </row>
    <row r="36" spans="1:2" x14ac:dyDescent="0.25">
      <c r="A36" s="147" t="s">
        <v>31</v>
      </c>
      <c r="B36" s="149">
        <f>70214.89</f>
        <v>70214.89</v>
      </c>
    </row>
    <row r="37" spans="1:2" x14ac:dyDescent="0.25">
      <c r="A37" s="147" t="s">
        <v>32</v>
      </c>
      <c r="B37" s="149">
        <f>6296.69</f>
        <v>6296.69</v>
      </c>
    </row>
    <row r="38" spans="1:2" x14ac:dyDescent="0.25">
      <c r="A38" s="147" t="s">
        <v>33</v>
      </c>
      <c r="B38" s="149">
        <f>0</f>
        <v>0</v>
      </c>
    </row>
    <row r="39" spans="1:2" x14ac:dyDescent="0.25">
      <c r="A39" s="147" t="s">
        <v>34</v>
      </c>
      <c r="B39" s="149">
        <f>0</f>
        <v>0</v>
      </c>
    </row>
    <row r="40" spans="1:2" x14ac:dyDescent="0.25">
      <c r="A40" s="147" t="s">
        <v>35</v>
      </c>
      <c r="B40" s="149">
        <f>0</f>
        <v>0</v>
      </c>
    </row>
    <row r="41" spans="1:2" x14ac:dyDescent="0.25">
      <c r="A41" s="147" t="s">
        <v>36</v>
      </c>
      <c r="B41" s="150">
        <f>((((((B32)+(B35))+(B36))+(B37))+(B38))+(B39))+(B40)</f>
        <v>14095819.879999999</v>
      </c>
    </row>
    <row r="42" spans="1:2" x14ac:dyDescent="0.25">
      <c r="A42" s="147" t="s">
        <v>37</v>
      </c>
      <c r="B42" s="150">
        <f>((B21)+(B26))+(B41)</f>
        <v>14154404.18</v>
      </c>
    </row>
    <row r="43" spans="1:2" x14ac:dyDescent="0.25">
      <c r="A43" s="147" t="s">
        <v>38</v>
      </c>
      <c r="B43" s="148"/>
    </row>
    <row r="44" spans="1:2" x14ac:dyDescent="0.25">
      <c r="A44" s="147" t="s">
        <v>39</v>
      </c>
      <c r="B44" s="148"/>
    </row>
    <row r="45" spans="1:2" x14ac:dyDescent="0.25">
      <c r="A45" s="147" t="s">
        <v>40</v>
      </c>
      <c r="B45" s="148"/>
    </row>
    <row r="46" spans="1:2" x14ac:dyDescent="0.25">
      <c r="A46" s="147" t="s">
        <v>41</v>
      </c>
      <c r="B46" s="148"/>
    </row>
    <row r="47" spans="1:2" x14ac:dyDescent="0.25">
      <c r="A47" s="147" t="s">
        <v>42</v>
      </c>
      <c r="B47" s="149">
        <f>7822.5</f>
        <v>7822.5</v>
      </c>
    </row>
    <row r="48" spans="1:2" x14ac:dyDescent="0.25">
      <c r="A48" s="147" t="s">
        <v>43</v>
      </c>
      <c r="B48" s="150">
        <f>B47</f>
        <v>7822.5</v>
      </c>
    </row>
    <row r="49" spans="1:2" x14ac:dyDescent="0.25">
      <c r="A49" s="147" t="s">
        <v>44</v>
      </c>
      <c r="B49" s="148"/>
    </row>
    <row r="50" spans="1:2" x14ac:dyDescent="0.25">
      <c r="A50" s="147" t="s">
        <v>45</v>
      </c>
      <c r="B50" s="149">
        <f>0</f>
        <v>0</v>
      </c>
    </row>
    <row r="51" spans="1:2" x14ac:dyDescent="0.25">
      <c r="A51" s="147" t="s">
        <v>46</v>
      </c>
      <c r="B51" s="149">
        <f>25460.81</f>
        <v>25460.81</v>
      </c>
    </row>
    <row r="52" spans="1:2" x14ac:dyDescent="0.25">
      <c r="A52" s="147" t="s">
        <v>47</v>
      </c>
      <c r="B52" s="149">
        <f>4168455.95</f>
        <v>4168455.95</v>
      </c>
    </row>
    <row r="53" spans="1:2" x14ac:dyDescent="0.25">
      <c r="A53" s="147" t="s">
        <v>48</v>
      </c>
      <c r="B53" s="150">
        <f>((B50)+(B51))+(B52)</f>
        <v>4193916.7600000002</v>
      </c>
    </row>
    <row r="54" spans="1:2" x14ac:dyDescent="0.25">
      <c r="A54" s="147" t="s">
        <v>49</v>
      </c>
      <c r="B54" s="150">
        <f>(B48)+(B53)</f>
        <v>4201739.26</v>
      </c>
    </row>
    <row r="55" spans="1:2" x14ac:dyDescent="0.25">
      <c r="A55" s="147" t="s">
        <v>50</v>
      </c>
      <c r="B55" s="150">
        <f>B54</f>
        <v>4201739.26</v>
      </c>
    </row>
    <row r="56" spans="1:2" x14ac:dyDescent="0.25">
      <c r="A56" s="147" t="s">
        <v>51</v>
      </c>
      <c r="B56" s="148"/>
    </row>
    <row r="57" spans="1:2" x14ac:dyDescent="0.25">
      <c r="A57" s="147" t="s">
        <v>52</v>
      </c>
      <c r="B57" s="149">
        <f>3800186.96</f>
        <v>3800186.96</v>
      </c>
    </row>
    <row r="58" spans="1:2" x14ac:dyDescent="0.25">
      <c r="A58" s="147" t="s">
        <v>53</v>
      </c>
      <c r="B58" s="149">
        <f>4629794.91</f>
        <v>4629794.91</v>
      </c>
    </row>
    <row r="59" spans="1:2" x14ac:dyDescent="0.25">
      <c r="A59" s="147" t="s">
        <v>54</v>
      </c>
      <c r="B59" s="149">
        <f>761386.07</f>
        <v>761386.07</v>
      </c>
    </row>
    <row r="60" spans="1:2" x14ac:dyDescent="0.25">
      <c r="A60" s="147" t="s">
        <v>55</v>
      </c>
      <c r="B60" s="149">
        <f>400842.21</f>
        <v>400842.21</v>
      </c>
    </row>
    <row r="61" spans="1:2" x14ac:dyDescent="0.25">
      <c r="A61" s="147" t="s">
        <v>56</v>
      </c>
      <c r="B61" s="149">
        <f>360454.77</f>
        <v>360454.77</v>
      </c>
    </row>
    <row r="62" spans="1:2" x14ac:dyDescent="0.25">
      <c r="A62" s="147" t="s">
        <v>57</v>
      </c>
      <c r="B62" s="150">
        <f>((((B57)+(B58))+(B59))+(B60))+(B61)</f>
        <v>9952664.9200000018</v>
      </c>
    </row>
    <row r="63" spans="1:2" x14ac:dyDescent="0.25">
      <c r="A63" s="147" t="s">
        <v>58</v>
      </c>
      <c r="B63" s="150">
        <f>(B55)+(B62)</f>
        <v>14154404.180000002</v>
      </c>
    </row>
    <row r="64" spans="1:2" x14ac:dyDescent="0.25">
      <c r="A64" s="147"/>
      <c r="B64" s="148"/>
    </row>
    <row r="65" spans="1:2" x14ac:dyDescent="0.25">
      <c r="A65" s="159" t="s">
        <v>61</v>
      </c>
      <c r="B65" s="159"/>
    </row>
    <row r="67" spans="1:2" x14ac:dyDescent="0.25">
      <c r="A67" s="155" t="s">
        <v>304</v>
      </c>
      <c r="B67" s="156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101"/>
  <sheetViews>
    <sheetView tabSelected="1" topLeftCell="A6" zoomScale="110" zoomScaleNormal="110" workbookViewId="0">
      <selection activeCell="A15" sqref="A15"/>
    </sheetView>
  </sheetViews>
  <sheetFormatPr defaultRowHeight="15" x14ac:dyDescent="0.25"/>
  <cols>
    <col min="1" max="1" width="40.42578125" customWidth="1"/>
    <col min="2" max="5" width="16.28515625" customWidth="1"/>
    <col min="7" max="7" width="22.5703125" customWidth="1"/>
    <col min="8" max="8" width="12.42578125" bestFit="1" customWidth="1"/>
    <col min="9" max="9" width="17.140625" customWidth="1"/>
    <col min="10" max="10" width="12.85546875" customWidth="1"/>
    <col min="11" max="11" width="10.5703125" bestFit="1" customWidth="1"/>
  </cols>
  <sheetData>
    <row r="1" spans="1:8" ht="18" x14ac:dyDescent="0.25">
      <c r="A1" s="157" t="s">
        <v>59</v>
      </c>
      <c r="B1" s="156"/>
      <c r="C1" s="156"/>
      <c r="D1" s="156"/>
      <c r="E1" s="156"/>
    </row>
    <row r="2" spans="1:8" ht="18" x14ac:dyDescent="0.25">
      <c r="A2" s="157" t="s">
        <v>273</v>
      </c>
      <c r="B2" s="156"/>
      <c r="C2" s="156"/>
      <c r="D2" s="156"/>
      <c r="E2" s="156"/>
    </row>
    <row r="3" spans="1:8" x14ac:dyDescent="0.25">
      <c r="A3" s="160" t="s">
        <v>305</v>
      </c>
      <c r="B3" s="156"/>
      <c r="C3" s="156"/>
      <c r="D3" s="156"/>
      <c r="E3" s="156"/>
    </row>
    <row r="5" spans="1:8" x14ac:dyDescent="0.25">
      <c r="A5" s="1"/>
      <c r="B5" s="162" t="s">
        <v>0</v>
      </c>
      <c r="C5" s="163"/>
      <c r="D5" s="163"/>
      <c r="E5" s="163"/>
    </row>
    <row r="6" spans="1:8" ht="57" customHeight="1" x14ac:dyDescent="0.25">
      <c r="A6" s="1"/>
      <c r="B6" s="139" t="s">
        <v>128</v>
      </c>
      <c r="C6" s="139" t="s">
        <v>127</v>
      </c>
      <c r="D6" s="139" t="s">
        <v>126</v>
      </c>
      <c r="E6" s="139" t="s">
        <v>125</v>
      </c>
    </row>
    <row r="7" spans="1:8" x14ac:dyDescent="0.25">
      <c r="A7" s="3" t="s">
        <v>124</v>
      </c>
      <c r="B7" s="2"/>
      <c r="C7" s="2"/>
      <c r="D7" s="2"/>
      <c r="E7" s="2"/>
    </row>
    <row r="8" spans="1:8" x14ac:dyDescent="0.25">
      <c r="A8" s="3" t="s">
        <v>123</v>
      </c>
      <c r="B8" s="2"/>
      <c r="C8" s="2"/>
      <c r="D8" s="7">
        <f t="shared" ref="D8:D17" si="0">(B8)-(C8)</f>
        <v>0</v>
      </c>
      <c r="E8" s="6" t="str">
        <f t="shared" ref="E8:E17" si="1">IF(C8=0,"",(B8)/(C8))</f>
        <v/>
      </c>
    </row>
    <row r="9" spans="1:8" x14ac:dyDescent="0.25">
      <c r="A9" s="3" t="s">
        <v>122</v>
      </c>
      <c r="B9" s="7">
        <f>23920.35</f>
        <v>23920.35</v>
      </c>
      <c r="C9" s="7">
        <f>29400</f>
        <v>29400</v>
      </c>
      <c r="D9" s="7">
        <f t="shared" si="0"/>
        <v>-5479.6500000000015</v>
      </c>
      <c r="E9" s="6">
        <f t="shared" si="1"/>
        <v>0.81361734693877541</v>
      </c>
    </row>
    <row r="10" spans="1:8" x14ac:dyDescent="0.25">
      <c r="A10" s="3" t="s">
        <v>121</v>
      </c>
      <c r="B10" s="2"/>
      <c r="C10" s="2"/>
      <c r="D10" s="7">
        <f t="shared" si="0"/>
        <v>0</v>
      </c>
      <c r="E10" s="6" t="str">
        <f t="shared" si="1"/>
        <v/>
      </c>
    </row>
    <row r="11" spans="1:8" x14ac:dyDescent="0.25">
      <c r="A11" s="3" t="s">
        <v>120</v>
      </c>
      <c r="B11" s="7">
        <f>97673.03</f>
        <v>97673.03</v>
      </c>
      <c r="C11" s="7">
        <f>116250</f>
        <v>116250</v>
      </c>
      <c r="D11" s="7">
        <f t="shared" si="0"/>
        <v>-18576.97</v>
      </c>
      <c r="E11" s="6">
        <f t="shared" si="1"/>
        <v>0.84019810752688173</v>
      </c>
    </row>
    <row r="12" spans="1:8" x14ac:dyDescent="0.25">
      <c r="A12" s="3" t="s">
        <v>274</v>
      </c>
      <c r="B12" s="5">
        <f>(B10)+(B11)</f>
        <v>97673.03</v>
      </c>
      <c r="C12" s="5">
        <f>(C10)+(C11)</f>
        <v>116250</v>
      </c>
      <c r="D12" s="5">
        <f t="shared" si="0"/>
        <v>-18576.97</v>
      </c>
      <c r="E12" s="4">
        <f t="shared" si="1"/>
        <v>0.84019810752688173</v>
      </c>
      <c r="H12" s="79"/>
    </row>
    <row r="13" spans="1:8" x14ac:dyDescent="0.25">
      <c r="A13" s="3" t="s">
        <v>275</v>
      </c>
      <c r="B13" s="7">
        <f>26666.72</f>
        <v>26666.720000000001</v>
      </c>
      <c r="C13" s="7">
        <f>40000</f>
        <v>40000</v>
      </c>
      <c r="D13" s="7">
        <f t="shared" si="0"/>
        <v>-13333.279999999999</v>
      </c>
      <c r="E13" s="6">
        <f t="shared" si="1"/>
        <v>0.66666800000000004</v>
      </c>
    </row>
    <row r="14" spans="1:8" x14ac:dyDescent="0.25">
      <c r="A14" s="3" t="s">
        <v>119</v>
      </c>
      <c r="B14" s="5">
        <f>(((B8)+(B9))+(B12))+(B13)</f>
        <v>148260.1</v>
      </c>
      <c r="C14" s="5">
        <f>(((C8)+(C9))+(C12))+(C13)</f>
        <v>185650</v>
      </c>
      <c r="D14" s="5">
        <f t="shared" si="0"/>
        <v>-37389.899999999994</v>
      </c>
      <c r="E14" s="4">
        <f t="shared" si="1"/>
        <v>0.79860005386479938</v>
      </c>
    </row>
    <row r="15" spans="1:8" x14ac:dyDescent="0.25">
      <c r="A15" s="3" t="s">
        <v>118</v>
      </c>
      <c r="B15" s="7">
        <f>580.63</f>
        <v>580.63</v>
      </c>
      <c r="C15" s="2"/>
      <c r="D15" s="7">
        <f t="shared" si="0"/>
        <v>580.63</v>
      </c>
      <c r="E15" s="6" t="str">
        <f t="shared" si="1"/>
        <v/>
      </c>
    </row>
    <row r="16" spans="1:8" x14ac:dyDescent="0.25">
      <c r="A16" s="3" t="s">
        <v>117</v>
      </c>
      <c r="B16" s="5">
        <f>(B14)+(B15)</f>
        <v>148840.73000000001</v>
      </c>
      <c r="C16" s="5">
        <f>(C14)+(C15)</f>
        <v>185650</v>
      </c>
      <c r="D16" s="5">
        <f t="shared" si="0"/>
        <v>-36809.26999999999</v>
      </c>
      <c r="E16" s="4">
        <f t="shared" si="1"/>
        <v>0.80172760570966883</v>
      </c>
    </row>
    <row r="17" spans="1:9" x14ac:dyDescent="0.25">
      <c r="A17" s="3" t="s">
        <v>116</v>
      </c>
      <c r="B17" s="5">
        <f>(B16)-(0)</f>
        <v>148840.73000000001</v>
      </c>
      <c r="C17" s="5">
        <f>(C16)-(0)</f>
        <v>185650</v>
      </c>
      <c r="D17" s="5">
        <f t="shared" si="0"/>
        <v>-36809.26999999999</v>
      </c>
      <c r="E17" s="4">
        <f t="shared" si="1"/>
        <v>0.80172760570966883</v>
      </c>
      <c r="H17" s="79">
        <f>+D17</f>
        <v>-36809.26999999999</v>
      </c>
      <c r="I17" t="s">
        <v>289</v>
      </c>
    </row>
    <row r="18" spans="1:9" x14ac:dyDescent="0.25">
      <c r="A18" s="3" t="s">
        <v>115</v>
      </c>
      <c r="B18" s="2"/>
      <c r="C18" s="2"/>
      <c r="D18" s="2"/>
      <c r="E18" s="2"/>
    </row>
    <row r="19" spans="1:9" x14ac:dyDescent="0.25">
      <c r="A19" s="3" t="s">
        <v>260</v>
      </c>
      <c r="B19" s="7">
        <f>2569.33</f>
        <v>2569.33</v>
      </c>
      <c r="C19" s="7">
        <f>2000</f>
        <v>2000</v>
      </c>
      <c r="D19" s="7">
        <f t="shared" ref="D19:D61" si="2">(B19)-(C19)</f>
        <v>569.32999999999993</v>
      </c>
      <c r="E19" s="6">
        <f t="shared" ref="E19:E61" si="3">IF(C19=0,"",(B19)/(C19))</f>
        <v>1.2846649999999999</v>
      </c>
    </row>
    <row r="20" spans="1:9" x14ac:dyDescent="0.25">
      <c r="A20" s="3" t="s">
        <v>276</v>
      </c>
      <c r="B20" s="2"/>
      <c r="C20" s="7">
        <f>18000</f>
        <v>18000</v>
      </c>
      <c r="D20" s="7">
        <f t="shared" si="2"/>
        <v>-18000</v>
      </c>
      <c r="E20" s="6">
        <f t="shared" si="3"/>
        <v>0</v>
      </c>
    </row>
    <row r="21" spans="1:9" x14ac:dyDescent="0.25">
      <c r="A21" s="3" t="s">
        <v>114</v>
      </c>
      <c r="B21" s="7">
        <f>432.12</f>
        <v>432.12</v>
      </c>
      <c r="C21" s="7">
        <f>33.36</f>
        <v>33.36</v>
      </c>
      <c r="D21" s="7">
        <f t="shared" si="2"/>
        <v>398.76</v>
      </c>
      <c r="E21" s="6">
        <f t="shared" si="3"/>
        <v>12.953237410071942</v>
      </c>
    </row>
    <row r="22" spans="1:9" x14ac:dyDescent="0.25">
      <c r="A22" s="3" t="s">
        <v>113</v>
      </c>
      <c r="B22" s="7">
        <f>100</f>
        <v>100</v>
      </c>
      <c r="C22" s="7">
        <f>800</f>
        <v>800</v>
      </c>
      <c r="D22" s="7">
        <f t="shared" si="2"/>
        <v>-700</v>
      </c>
      <c r="E22" s="6">
        <f t="shared" si="3"/>
        <v>0.125</v>
      </c>
      <c r="F22" t="s">
        <v>297</v>
      </c>
      <c r="G22" s="81">
        <f>SUM(B19:B29)</f>
        <v>28415.5</v>
      </c>
    </row>
    <row r="23" spans="1:9" x14ac:dyDescent="0.25">
      <c r="A23" s="3" t="s">
        <v>112</v>
      </c>
      <c r="B23" s="2"/>
      <c r="C23" s="7">
        <f>666.64</f>
        <v>666.64</v>
      </c>
      <c r="D23" s="7">
        <f t="shared" si="2"/>
        <v>-666.64</v>
      </c>
      <c r="E23" s="6">
        <f t="shared" si="3"/>
        <v>0</v>
      </c>
      <c r="F23" t="s">
        <v>298</v>
      </c>
      <c r="G23" s="81">
        <f>SUM(C19:C29)</f>
        <v>50566.720000000001</v>
      </c>
    </row>
    <row r="24" spans="1:9" x14ac:dyDescent="0.25">
      <c r="A24" s="3" t="s">
        <v>111</v>
      </c>
      <c r="B24" s="7">
        <f>264.05</f>
        <v>264.05</v>
      </c>
      <c r="C24" s="2"/>
      <c r="D24" s="7">
        <f t="shared" si="2"/>
        <v>264.05</v>
      </c>
      <c r="E24" s="6" t="str">
        <f t="shared" si="3"/>
        <v/>
      </c>
      <c r="G24" s="78">
        <f>+G23-G22</f>
        <v>22151.22</v>
      </c>
    </row>
    <row r="25" spans="1:9" x14ac:dyDescent="0.25">
      <c r="A25" s="3" t="s">
        <v>110</v>
      </c>
      <c r="B25" s="7">
        <f>250</f>
        <v>250</v>
      </c>
      <c r="C25" s="7">
        <f>4333.36</f>
        <v>4333.3599999999997</v>
      </c>
      <c r="D25" s="7">
        <f t="shared" si="2"/>
        <v>-4083.3599999999997</v>
      </c>
      <c r="E25" s="6">
        <f t="shared" si="3"/>
        <v>5.7691952664906683E-2</v>
      </c>
    </row>
    <row r="26" spans="1:9" x14ac:dyDescent="0.25">
      <c r="A26" s="3" t="s">
        <v>109</v>
      </c>
      <c r="B26" s="7">
        <f>24000</f>
        <v>24000</v>
      </c>
      <c r="C26" s="7">
        <f>22000</f>
        <v>22000</v>
      </c>
      <c r="D26" s="7">
        <f t="shared" si="2"/>
        <v>2000</v>
      </c>
      <c r="E26" s="6">
        <f t="shared" si="3"/>
        <v>1.0909090909090908</v>
      </c>
    </row>
    <row r="27" spans="1:9" x14ac:dyDescent="0.25">
      <c r="A27" s="3" t="s">
        <v>108</v>
      </c>
      <c r="B27" s="2"/>
      <c r="C27" s="7">
        <f>33.36</f>
        <v>33.36</v>
      </c>
      <c r="D27" s="7">
        <f t="shared" si="2"/>
        <v>-33.36</v>
      </c>
      <c r="E27" s="6">
        <f t="shared" si="3"/>
        <v>0</v>
      </c>
    </row>
    <row r="28" spans="1:9" x14ac:dyDescent="0.25">
      <c r="A28" s="3" t="s">
        <v>107</v>
      </c>
      <c r="B28" s="7">
        <f>800</f>
        <v>800</v>
      </c>
      <c r="C28" s="7">
        <f>2333.36</f>
        <v>2333.36</v>
      </c>
      <c r="D28" s="7">
        <f t="shared" si="2"/>
        <v>-1533.3600000000001</v>
      </c>
      <c r="E28" s="6">
        <f t="shared" si="3"/>
        <v>0.34285322453457673</v>
      </c>
    </row>
    <row r="29" spans="1:9" x14ac:dyDescent="0.25">
      <c r="A29" s="3" t="s">
        <v>106</v>
      </c>
      <c r="B29" s="2"/>
      <c r="C29" s="7">
        <f>366.64</f>
        <v>366.64</v>
      </c>
      <c r="D29" s="7">
        <f t="shared" si="2"/>
        <v>-366.64</v>
      </c>
      <c r="E29" s="6">
        <f t="shared" si="3"/>
        <v>0</v>
      </c>
      <c r="H29" s="81">
        <f>SUM(D19:D29)</f>
        <v>-22151.22</v>
      </c>
      <c r="I29" t="s">
        <v>290</v>
      </c>
    </row>
    <row r="30" spans="1:9" x14ac:dyDescent="0.25">
      <c r="A30" s="3" t="s">
        <v>105</v>
      </c>
      <c r="B30" s="2"/>
      <c r="C30" s="2"/>
      <c r="D30" s="7">
        <f t="shared" si="2"/>
        <v>0</v>
      </c>
      <c r="E30" s="6" t="str">
        <f t="shared" si="3"/>
        <v/>
      </c>
      <c r="F30" t="s">
        <v>297</v>
      </c>
      <c r="G30" s="85">
        <f>SUM(B30:B34)</f>
        <v>102189.95</v>
      </c>
    </row>
    <row r="31" spans="1:9" x14ac:dyDescent="0.25">
      <c r="A31" s="3" t="s">
        <v>104</v>
      </c>
      <c r="B31" s="7">
        <f>1910</f>
        <v>1910</v>
      </c>
      <c r="C31" s="7">
        <f>846.64</f>
        <v>846.64</v>
      </c>
      <c r="D31" s="7">
        <f t="shared" si="2"/>
        <v>1063.3600000000001</v>
      </c>
      <c r="E31" s="6">
        <f t="shared" si="3"/>
        <v>2.2559765661910611</v>
      </c>
      <c r="F31" t="s">
        <v>298</v>
      </c>
      <c r="G31" s="85">
        <f>SUM(C31:C34)</f>
        <v>105683.28</v>
      </c>
    </row>
    <row r="32" spans="1:9" x14ac:dyDescent="0.25">
      <c r="A32" s="3" t="s">
        <v>103</v>
      </c>
      <c r="B32" s="7">
        <f>90308.5</f>
        <v>90308.5</v>
      </c>
      <c r="C32" s="7">
        <f>94700</f>
        <v>94700</v>
      </c>
      <c r="D32" s="7">
        <f t="shared" si="2"/>
        <v>-4391.5</v>
      </c>
      <c r="E32" s="6">
        <f t="shared" si="3"/>
        <v>0.95362724392819431</v>
      </c>
      <c r="G32" s="85">
        <f>+G30-G31</f>
        <v>-3493.3300000000017</v>
      </c>
    </row>
    <row r="33" spans="1:11" x14ac:dyDescent="0.25">
      <c r="A33" s="3" t="s">
        <v>102</v>
      </c>
      <c r="B33" s="7">
        <f>263</f>
        <v>263</v>
      </c>
      <c r="C33" s="7">
        <f>666.64</f>
        <v>666.64</v>
      </c>
      <c r="D33" s="7">
        <f t="shared" si="2"/>
        <v>-403.64</v>
      </c>
      <c r="E33" s="6">
        <f t="shared" si="3"/>
        <v>0.39451578063122528</v>
      </c>
      <c r="G33" s="85"/>
    </row>
    <row r="34" spans="1:11" x14ac:dyDescent="0.25">
      <c r="A34" s="3" t="s">
        <v>101</v>
      </c>
      <c r="B34" s="7">
        <f>9708.45</f>
        <v>9708.4500000000007</v>
      </c>
      <c r="C34" s="7">
        <f>9470</f>
        <v>9470</v>
      </c>
      <c r="D34" s="7">
        <f t="shared" si="2"/>
        <v>238.45000000000073</v>
      </c>
      <c r="E34" s="6">
        <f t="shared" si="3"/>
        <v>1.025179514255544</v>
      </c>
    </row>
    <row r="35" spans="1:11" x14ac:dyDescent="0.25">
      <c r="A35" s="3" t="s">
        <v>100</v>
      </c>
      <c r="B35" s="5">
        <f>((((B30)+(B31))+(B32))+(B33))+(B34)</f>
        <v>102189.95</v>
      </c>
      <c r="C35" s="5">
        <f>((((C30)+(C31))+(C32))+(C33))+(C34)</f>
        <v>105683.28</v>
      </c>
      <c r="D35" s="5">
        <f t="shared" si="2"/>
        <v>-3493.3300000000017</v>
      </c>
      <c r="E35" s="4">
        <f t="shared" si="3"/>
        <v>0.96694529162985854</v>
      </c>
      <c r="H35" s="79">
        <f>+D35</f>
        <v>-3493.3300000000017</v>
      </c>
      <c r="I35" t="s">
        <v>290</v>
      </c>
      <c r="K35" s="78">
        <f>+H35+H29</f>
        <v>-25644.550000000003</v>
      </c>
    </row>
    <row r="36" spans="1:11" x14ac:dyDescent="0.25">
      <c r="A36" s="3" t="s">
        <v>99</v>
      </c>
      <c r="B36" s="2"/>
      <c r="C36" s="2"/>
      <c r="D36" s="7">
        <f t="shared" si="2"/>
        <v>0</v>
      </c>
      <c r="E36" s="6" t="str">
        <f t="shared" si="3"/>
        <v/>
      </c>
    </row>
    <row r="37" spans="1:11" x14ac:dyDescent="0.25">
      <c r="A37" s="3" t="s">
        <v>98</v>
      </c>
      <c r="B37" s="7">
        <f>17600</f>
        <v>17600</v>
      </c>
      <c r="C37" s="7">
        <f>17600</f>
        <v>17600</v>
      </c>
      <c r="D37" s="7">
        <f t="shared" si="2"/>
        <v>0</v>
      </c>
      <c r="E37" s="6">
        <f t="shared" si="3"/>
        <v>1</v>
      </c>
    </row>
    <row r="38" spans="1:11" x14ac:dyDescent="0.25">
      <c r="A38" s="3" t="s">
        <v>97</v>
      </c>
      <c r="B38" s="7">
        <f>8305</f>
        <v>8305</v>
      </c>
      <c r="C38" s="7">
        <f>7500</f>
        <v>7500</v>
      </c>
      <c r="D38" s="7">
        <f t="shared" si="2"/>
        <v>805</v>
      </c>
      <c r="E38" s="6">
        <f t="shared" si="3"/>
        <v>1.1073333333333333</v>
      </c>
    </row>
    <row r="39" spans="1:11" x14ac:dyDescent="0.25">
      <c r="A39" s="3" t="s">
        <v>96</v>
      </c>
      <c r="B39" s="2"/>
      <c r="C39" s="7">
        <f>666.64</f>
        <v>666.64</v>
      </c>
      <c r="D39" s="7">
        <f t="shared" si="2"/>
        <v>-666.64</v>
      </c>
      <c r="E39" s="6">
        <f t="shared" si="3"/>
        <v>0</v>
      </c>
    </row>
    <row r="40" spans="1:11" x14ac:dyDescent="0.25">
      <c r="A40" s="3" t="s">
        <v>95</v>
      </c>
      <c r="B40" s="5">
        <f>(((B36)+(B37))+(B38))+(B39)</f>
        <v>25905</v>
      </c>
      <c r="C40" s="5">
        <f>(((C36)+(C37))+(C38))+(C39)</f>
        <v>25766.639999999999</v>
      </c>
      <c r="D40" s="5">
        <f t="shared" si="2"/>
        <v>138.36000000000058</v>
      </c>
      <c r="E40" s="4">
        <f t="shared" si="3"/>
        <v>1.0053697338884697</v>
      </c>
      <c r="H40" s="79">
        <f>+D40</f>
        <v>138.36000000000058</v>
      </c>
      <c r="I40" t="s">
        <v>291</v>
      </c>
    </row>
    <row r="41" spans="1:11" x14ac:dyDescent="0.25">
      <c r="A41" s="3" t="s">
        <v>94</v>
      </c>
      <c r="B41" s="2"/>
      <c r="C41" s="2"/>
      <c r="D41" s="7">
        <f t="shared" si="2"/>
        <v>0</v>
      </c>
      <c r="E41" s="6" t="str">
        <f t="shared" si="3"/>
        <v/>
      </c>
    </row>
    <row r="42" spans="1:11" x14ac:dyDescent="0.25">
      <c r="A42" s="3" t="s">
        <v>93</v>
      </c>
      <c r="B42" s="7">
        <f>0</f>
        <v>0</v>
      </c>
      <c r="C42" s="2"/>
      <c r="D42" s="7">
        <f t="shared" si="2"/>
        <v>0</v>
      </c>
      <c r="E42" s="6" t="str">
        <f t="shared" si="3"/>
        <v/>
      </c>
    </row>
    <row r="43" spans="1:11" x14ac:dyDescent="0.25">
      <c r="A43" s="3" t="s">
        <v>92</v>
      </c>
      <c r="B43" s="7">
        <f>8603.38</f>
        <v>8603.3799999999992</v>
      </c>
      <c r="C43" s="7">
        <f>6500</f>
        <v>6500</v>
      </c>
      <c r="D43" s="7">
        <f t="shared" si="2"/>
        <v>2103.3799999999992</v>
      </c>
      <c r="E43" s="6">
        <f t="shared" si="3"/>
        <v>1.3235969230769229</v>
      </c>
    </row>
    <row r="44" spans="1:11" x14ac:dyDescent="0.25">
      <c r="A44" s="3" t="s">
        <v>91</v>
      </c>
      <c r="B44" s="5">
        <f>((B41)+(B42))+(B43)</f>
        <v>8603.3799999999992</v>
      </c>
      <c r="C44" s="5">
        <f>((C41)+(C42))+(C43)</f>
        <v>6500</v>
      </c>
      <c r="D44" s="5">
        <f t="shared" si="2"/>
        <v>2103.3799999999992</v>
      </c>
      <c r="E44" s="4">
        <f t="shared" si="3"/>
        <v>1.3235969230769229</v>
      </c>
      <c r="H44" s="79">
        <f>+D44</f>
        <v>2103.3799999999992</v>
      </c>
      <c r="I44" t="s">
        <v>291</v>
      </c>
    </row>
    <row r="45" spans="1:11" x14ac:dyDescent="0.25">
      <c r="A45" s="3" t="s">
        <v>90</v>
      </c>
      <c r="B45" s="7">
        <f>445.52</f>
        <v>445.52</v>
      </c>
      <c r="C45" s="2"/>
      <c r="D45" s="7">
        <f t="shared" si="2"/>
        <v>445.52</v>
      </c>
      <c r="E45" s="6" t="str">
        <f t="shared" si="3"/>
        <v/>
      </c>
    </row>
    <row r="46" spans="1:11" x14ac:dyDescent="0.25">
      <c r="A46" s="3" t="s">
        <v>89</v>
      </c>
      <c r="B46" s="7">
        <f>420</f>
        <v>420</v>
      </c>
      <c r="C46" s="7">
        <f>1200</f>
        <v>1200</v>
      </c>
      <c r="D46" s="7">
        <f t="shared" si="2"/>
        <v>-780</v>
      </c>
      <c r="E46" s="6">
        <f t="shared" si="3"/>
        <v>0.35</v>
      </c>
    </row>
    <row r="47" spans="1:11" x14ac:dyDescent="0.25">
      <c r="A47" s="3" t="s">
        <v>88</v>
      </c>
      <c r="B47" s="7">
        <f>255.11</f>
        <v>255.11</v>
      </c>
      <c r="C47" s="7">
        <f>333.36</f>
        <v>333.36</v>
      </c>
      <c r="D47" s="7">
        <f t="shared" si="2"/>
        <v>-78.25</v>
      </c>
      <c r="E47" s="6">
        <f t="shared" si="3"/>
        <v>0.76526877849772024</v>
      </c>
    </row>
    <row r="48" spans="1:11" x14ac:dyDescent="0.25">
      <c r="A48" s="3" t="s">
        <v>87</v>
      </c>
      <c r="B48" s="7">
        <f>967.51</f>
        <v>967.51</v>
      </c>
      <c r="C48" s="7">
        <f>66.64</f>
        <v>66.64</v>
      </c>
      <c r="D48" s="7">
        <f t="shared" si="2"/>
        <v>900.87</v>
      </c>
      <c r="E48" s="6">
        <f t="shared" si="3"/>
        <v>14.518457382953182</v>
      </c>
    </row>
    <row r="49" spans="1:11" x14ac:dyDescent="0.25">
      <c r="A49" s="3" t="s">
        <v>86</v>
      </c>
      <c r="B49" s="7">
        <f>1265.34</f>
        <v>1265.3399999999999</v>
      </c>
      <c r="C49" s="7">
        <f>1333.36</f>
        <v>1333.36</v>
      </c>
      <c r="D49" s="7">
        <f t="shared" si="2"/>
        <v>-68.019999999999982</v>
      </c>
      <c r="E49" s="6">
        <f t="shared" si="3"/>
        <v>0.94898602027959444</v>
      </c>
    </row>
    <row r="50" spans="1:11" x14ac:dyDescent="0.25">
      <c r="A50" s="3" t="s">
        <v>85</v>
      </c>
      <c r="B50" s="7">
        <f>140</f>
        <v>140</v>
      </c>
      <c r="C50" s="7">
        <f>150</f>
        <v>150</v>
      </c>
      <c r="D50" s="7">
        <f t="shared" si="2"/>
        <v>-10</v>
      </c>
      <c r="E50" s="6">
        <f t="shared" si="3"/>
        <v>0.93333333333333335</v>
      </c>
    </row>
    <row r="51" spans="1:11" x14ac:dyDescent="0.25">
      <c r="A51" s="3" t="s">
        <v>84</v>
      </c>
      <c r="B51" s="7">
        <f>1594.75</f>
        <v>1594.75</v>
      </c>
      <c r="C51" s="7">
        <f>360</f>
        <v>360</v>
      </c>
      <c r="D51" s="7">
        <f t="shared" si="2"/>
        <v>1234.75</v>
      </c>
      <c r="E51" s="6">
        <f t="shared" si="3"/>
        <v>4.4298611111111112</v>
      </c>
    </row>
    <row r="52" spans="1:11" x14ac:dyDescent="0.25">
      <c r="A52" s="3" t="s">
        <v>83</v>
      </c>
      <c r="B52" s="5">
        <f>((((((B45)+(B46))+(B47))+(B48))+(B49))+(B50))+(B51)</f>
        <v>5088.2300000000005</v>
      </c>
      <c r="C52" s="5">
        <f>((((((C45)+(C46))+(C47))+(C48))+(C49))+(C50))+(C51)</f>
        <v>3443.36</v>
      </c>
      <c r="D52" s="5">
        <f t="shared" si="2"/>
        <v>1644.8700000000003</v>
      </c>
      <c r="E52" s="4">
        <f t="shared" si="3"/>
        <v>1.477693299567864</v>
      </c>
      <c r="H52" s="79">
        <f>+D52</f>
        <v>1644.8700000000003</v>
      </c>
      <c r="I52" t="s">
        <v>291</v>
      </c>
    </row>
    <row r="53" spans="1:11" x14ac:dyDescent="0.25">
      <c r="A53" s="3" t="s">
        <v>82</v>
      </c>
      <c r="B53" s="2"/>
      <c r="C53" s="2"/>
      <c r="D53" s="7">
        <f t="shared" si="2"/>
        <v>0</v>
      </c>
      <c r="E53" s="6" t="str">
        <f t="shared" si="3"/>
        <v/>
      </c>
    </row>
    <row r="54" spans="1:11" x14ac:dyDescent="0.25">
      <c r="A54" s="3" t="s">
        <v>277</v>
      </c>
      <c r="B54" s="7">
        <f>90</f>
        <v>90</v>
      </c>
      <c r="C54" s="7">
        <f>333.36</f>
        <v>333.36</v>
      </c>
      <c r="D54" s="7">
        <f t="shared" si="2"/>
        <v>-243.36</v>
      </c>
      <c r="E54" s="6">
        <f t="shared" si="3"/>
        <v>0.26997840172786175</v>
      </c>
    </row>
    <row r="55" spans="1:11" x14ac:dyDescent="0.25">
      <c r="A55" s="3" t="s">
        <v>81</v>
      </c>
      <c r="B55" s="7">
        <f>1000</f>
        <v>1000</v>
      </c>
      <c r="C55" s="7">
        <f>2333.36</f>
        <v>2333.36</v>
      </c>
      <c r="D55" s="7">
        <f t="shared" si="2"/>
        <v>-1333.3600000000001</v>
      </c>
      <c r="E55" s="6">
        <f t="shared" si="3"/>
        <v>0.42856653066822092</v>
      </c>
    </row>
    <row r="56" spans="1:11" x14ac:dyDescent="0.25">
      <c r="A56" s="3" t="s">
        <v>80</v>
      </c>
      <c r="B56" s="2"/>
      <c r="C56" s="7">
        <f>100</f>
        <v>100</v>
      </c>
      <c r="D56" s="7">
        <f t="shared" si="2"/>
        <v>-100</v>
      </c>
      <c r="E56" s="6">
        <f t="shared" si="3"/>
        <v>0</v>
      </c>
    </row>
    <row r="57" spans="1:11" x14ac:dyDescent="0.25">
      <c r="A57" s="3" t="s">
        <v>79</v>
      </c>
      <c r="B57" s="2"/>
      <c r="C57" s="7">
        <f>100</f>
        <v>100</v>
      </c>
      <c r="D57" s="7">
        <f t="shared" si="2"/>
        <v>-100</v>
      </c>
      <c r="E57" s="6">
        <f t="shared" si="3"/>
        <v>0</v>
      </c>
    </row>
    <row r="58" spans="1:11" x14ac:dyDescent="0.25">
      <c r="A58" s="3" t="s">
        <v>78</v>
      </c>
      <c r="B58" s="5">
        <f>((((B53)+(B54))+(B55))+(B56))+(B57)</f>
        <v>1090</v>
      </c>
      <c r="C58" s="5">
        <f>((((C53)+(C54))+(C55))+(C56))+(C57)</f>
        <v>2866.7200000000003</v>
      </c>
      <c r="D58" s="5">
        <f t="shared" si="2"/>
        <v>-1776.7200000000003</v>
      </c>
      <c r="E58" s="4">
        <f t="shared" si="3"/>
        <v>0.38022548417703855</v>
      </c>
      <c r="H58" s="79">
        <f>+D58</f>
        <v>-1776.7200000000003</v>
      </c>
      <c r="I58" t="s">
        <v>290</v>
      </c>
      <c r="K58" s="80"/>
    </row>
    <row r="59" spans="1:11" x14ac:dyDescent="0.25">
      <c r="A59" s="3" t="s">
        <v>278</v>
      </c>
      <c r="B59" s="7">
        <f>9250</f>
        <v>9250</v>
      </c>
      <c r="C59" s="2"/>
      <c r="D59" s="7">
        <f t="shared" si="2"/>
        <v>9250</v>
      </c>
      <c r="E59" s="6" t="str">
        <f t="shared" si="3"/>
        <v/>
      </c>
      <c r="H59" s="144">
        <f>+D59</f>
        <v>9250</v>
      </c>
      <c r="I59" t="s">
        <v>291</v>
      </c>
      <c r="K59" s="78"/>
    </row>
    <row r="60" spans="1:11" x14ac:dyDescent="0.25">
      <c r="A60" s="3" t="s">
        <v>77</v>
      </c>
      <c r="B60" s="5">
        <f>((((((((((((((((B19)+(B20))+(B21))+(B22))+(B23))+(B24))+(B25))+(B26))+(B27))+(B28))+(B29))+(B35))+(B40))+(B44))+(B52))+(B58))+(B59)</f>
        <v>180542.06000000003</v>
      </c>
      <c r="C60" s="5">
        <f>((((((((((((((((C19)+(C20))+(C21))+(C22))+(C23))+(C24))+(C25))+(C26))+(C27))+(C28))+(C29))+(C35))+(C40))+(C44))+(C52))+(C58))+(C59)</f>
        <v>194826.72</v>
      </c>
      <c r="D60" s="5">
        <f t="shared" si="2"/>
        <v>-14284.659999999974</v>
      </c>
      <c r="E60" s="4">
        <f t="shared" si="3"/>
        <v>0.92668018021347398</v>
      </c>
      <c r="H60" s="140">
        <f>+D60</f>
        <v>-14284.659999999974</v>
      </c>
    </row>
    <row r="61" spans="1:11" x14ac:dyDescent="0.25">
      <c r="A61" s="3" t="s">
        <v>76</v>
      </c>
      <c r="B61" s="5">
        <f>(B17)-(B60)</f>
        <v>-31701.330000000016</v>
      </c>
      <c r="C61" s="5">
        <f>(C17)-(C60)</f>
        <v>-9176.7200000000012</v>
      </c>
      <c r="D61" s="5">
        <f t="shared" si="2"/>
        <v>-22524.610000000015</v>
      </c>
      <c r="E61" s="4">
        <f t="shared" si="3"/>
        <v>3.4545382228072787</v>
      </c>
      <c r="H61" s="79">
        <f>+H17-H60</f>
        <v>-22524.610000000015</v>
      </c>
    </row>
    <row r="62" spans="1:11" x14ac:dyDescent="0.25">
      <c r="A62" s="3" t="s">
        <v>75</v>
      </c>
      <c r="B62" s="2"/>
      <c r="C62" s="2"/>
      <c r="D62" s="2"/>
      <c r="E62" s="2"/>
      <c r="H62" s="140"/>
    </row>
    <row r="63" spans="1:11" ht="15.75" thickBot="1" x14ac:dyDescent="0.3">
      <c r="A63" s="3" t="s">
        <v>74</v>
      </c>
      <c r="B63" s="7">
        <f>1084390.27</f>
        <v>1084390.27</v>
      </c>
      <c r="C63" s="2"/>
      <c r="D63" s="7">
        <f t="shared" ref="D63:D70" si="4">(B63)-(C63)</f>
        <v>1084390.27</v>
      </c>
      <c r="E63" s="6" t="str">
        <f t="shared" ref="E63:E70" si="5">IF(C63=0,"",(B63)/(C63))</f>
        <v/>
      </c>
      <c r="H63" s="141">
        <f>+H61+H62</f>
        <v>-22524.610000000015</v>
      </c>
    </row>
    <row r="64" spans="1:11" ht="15.75" thickTop="1" x14ac:dyDescent="0.25">
      <c r="A64" s="3" t="s">
        <v>73</v>
      </c>
      <c r="B64" s="2"/>
      <c r="C64" s="2"/>
      <c r="D64" s="7">
        <f t="shared" si="4"/>
        <v>0</v>
      </c>
      <c r="E64" s="6" t="str">
        <f t="shared" si="5"/>
        <v/>
      </c>
    </row>
    <row r="65" spans="1:8" x14ac:dyDescent="0.25">
      <c r="A65" s="3" t="s">
        <v>72</v>
      </c>
      <c r="B65" s="7">
        <f>148303.54</f>
        <v>148303.54</v>
      </c>
      <c r="C65" s="2"/>
      <c r="D65" s="7">
        <f t="shared" si="4"/>
        <v>148303.54</v>
      </c>
      <c r="E65" s="6" t="str">
        <f t="shared" si="5"/>
        <v/>
      </c>
      <c r="G65" s="142" t="s">
        <v>293</v>
      </c>
      <c r="H65" s="79">
        <f>+H17</f>
        <v>-36809.26999999999</v>
      </c>
    </row>
    <row r="66" spans="1:8" x14ac:dyDescent="0.25">
      <c r="A66" s="3" t="s">
        <v>203</v>
      </c>
      <c r="B66" s="7">
        <f>32899.37</f>
        <v>32899.370000000003</v>
      </c>
      <c r="C66" s="2"/>
      <c r="D66" s="7">
        <f t="shared" si="4"/>
        <v>32899.370000000003</v>
      </c>
      <c r="E66" s="6" t="str">
        <f t="shared" si="5"/>
        <v/>
      </c>
      <c r="G66" s="142" t="s">
        <v>294</v>
      </c>
      <c r="H66" s="80">
        <f>SUM(H23:H59)</f>
        <v>-14284.660000000007</v>
      </c>
    </row>
    <row r="67" spans="1:8" ht="15.75" thickBot="1" x14ac:dyDescent="0.3">
      <c r="A67" s="3" t="s">
        <v>71</v>
      </c>
      <c r="B67" s="7">
        <f>219687.22</f>
        <v>219687.22</v>
      </c>
      <c r="C67" s="2"/>
      <c r="D67" s="7">
        <f t="shared" si="4"/>
        <v>219687.22</v>
      </c>
      <c r="E67" s="6" t="str">
        <f t="shared" si="5"/>
        <v/>
      </c>
      <c r="H67" s="141">
        <f>+H65-H66</f>
        <v>-22524.609999999982</v>
      </c>
    </row>
    <row r="68" spans="1:8" ht="15.75" thickTop="1" x14ac:dyDescent="0.25">
      <c r="A68" s="3" t="s">
        <v>70</v>
      </c>
      <c r="B68" s="7">
        <f>-21323.92</f>
        <v>-21323.919999999998</v>
      </c>
      <c r="C68" s="2"/>
      <c r="D68" s="7">
        <f t="shared" si="4"/>
        <v>-21323.919999999998</v>
      </c>
      <c r="E68" s="6" t="str">
        <f t="shared" si="5"/>
        <v/>
      </c>
    </row>
    <row r="69" spans="1:8" x14ac:dyDescent="0.25">
      <c r="A69" s="3" t="s">
        <v>69</v>
      </c>
      <c r="B69" s="5">
        <f>((((B64)+(B65))+(B66))+(B67))+(B68)</f>
        <v>379566.21</v>
      </c>
      <c r="C69" s="5">
        <f>((((C64)+(C65))+(C66))+(C67))+(C68)</f>
        <v>0</v>
      </c>
      <c r="D69" s="5">
        <f t="shared" si="4"/>
        <v>379566.21</v>
      </c>
      <c r="E69" s="4" t="str">
        <f t="shared" si="5"/>
        <v/>
      </c>
    </row>
    <row r="70" spans="1:8" x14ac:dyDescent="0.25">
      <c r="A70" s="3" t="s">
        <v>67</v>
      </c>
      <c r="B70" s="5">
        <f>(B63)+(B69)</f>
        <v>1463956.48</v>
      </c>
      <c r="C70" s="5">
        <f>(C63)+(C69)</f>
        <v>0</v>
      </c>
      <c r="D70" s="5">
        <f t="shared" si="4"/>
        <v>1463956.48</v>
      </c>
      <c r="E70" s="4" t="str">
        <f t="shared" si="5"/>
        <v/>
      </c>
    </row>
    <row r="71" spans="1:8" x14ac:dyDescent="0.25">
      <c r="A71" s="3" t="s">
        <v>66</v>
      </c>
      <c r="B71" s="2"/>
      <c r="C71" s="2"/>
      <c r="D71" s="2"/>
      <c r="E71" s="2"/>
    </row>
    <row r="72" spans="1:8" x14ac:dyDescent="0.25">
      <c r="A72" s="3" t="s">
        <v>65</v>
      </c>
      <c r="B72" s="7">
        <f>1071800.38</f>
        <v>1071800.3799999999</v>
      </c>
      <c r="C72" s="2"/>
      <c r="D72" s="7">
        <f>(B72)-(C72)</f>
        <v>1071800.3799999999</v>
      </c>
      <c r="E72" s="6" t="str">
        <f>IF(C72=0,"",(B72)/(C72))</f>
        <v/>
      </c>
    </row>
    <row r="73" spans="1:8" x14ac:dyDescent="0.25">
      <c r="A73" s="3" t="s">
        <v>64</v>
      </c>
      <c r="B73" s="5">
        <f>B72</f>
        <v>1071800.3799999999</v>
      </c>
      <c r="C73" s="5">
        <f>C72</f>
        <v>0</v>
      </c>
      <c r="D73" s="5">
        <f>(B73)-(C73)</f>
        <v>1071800.3799999999</v>
      </c>
      <c r="E73" s="4" t="str">
        <f>IF(C73=0,"",(B73)/(C73))</f>
        <v/>
      </c>
    </row>
    <row r="74" spans="1:8" x14ac:dyDescent="0.25">
      <c r="A74" s="3" t="s">
        <v>63</v>
      </c>
      <c r="B74" s="5">
        <f>(B70)-(B73)</f>
        <v>392156.10000000009</v>
      </c>
      <c r="C74" s="5">
        <f>(C70)-(C73)</f>
        <v>0</v>
      </c>
      <c r="D74" s="5">
        <f>(B74)-(C74)</f>
        <v>392156.10000000009</v>
      </c>
      <c r="E74" s="4" t="str">
        <f>IF(C74=0,"",(B74)/(C74))</f>
        <v/>
      </c>
    </row>
    <row r="75" spans="1:8" x14ac:dyDescent="0.25">
      <c r="A75" s="3" t="s">
        <v>62</v>
      </c>
      <c r="B75" s="5">
        <f>(B61)+(B74)</f>
        <v>360454.77000000008</v>
      </c>
      <c r="C75" s="5">
        <f>(C61)+(C74)</f>
        <v>-9176.7200000000012</v>
      </c>
      <c r="D75" s="5">
        <f>(B75)-(C75)</f>
        <v>369631.49000000011</v>
      </c>
      <c r="E75" s="4">
        <f>IF(C75=0,"",(B75)/(C75))</f>
        <v>-39.279259909858865</v>
      </c>
    </row>
    <row r="76" spans="1:8" x14ac:dyDescent="0.25">
      <c r="A76" s="3"/>
      <c r="B76" s="2"/>
      <c r="C76" s="2"/>
      <c r="D76" s="2"/>
      <c r="E76" s="2"/>
    </row>
    <row r="77" spans="1:8" x14ac:dyDescent="0.25">
      <c r="A77" s="159" t="s">
        <v>61</v>
      </c>
      <c r="B77" s="159"/>
      <c r="C77" s="159"/>
      <c r="D77" s="159"/>
      <c r="E77" s="159"/>
    </row>
    <row r="79" spans="1:8" x14ac:dyDescent="0.25">
      <c r="A79" s="161" t="s">
        <v>306</v>
      </c>
      <c r="B79" s="156"/>
      <c r="C79" s="156"/>
      <c r="D79" s="156"/>
      <c r="E79" s="156"/>
    </row>
    <row r="81" spans="1:5" x14ac:dyDescent="0.25">
      <c r="A81" s="3"/>
      <c r="B81" s="2"/>
      <c r="C81" s="2"/>
      <c r="D81" s="2"/>
      <c r="E81" s="2"/>
    </row>
    <row r="82" spans="1:5" x14ac:dyDescent="0.25">
      <c r="A82" s="3"/>
      <c r="B82" s="2"/>
      <c r="C82" s="2"/>
      <c r="D82" s="2"/>
      <c r="E82" s="2"/>
    </row>
    <row r="83" spans="1:5" x14ac:dyDescent="0.25">
      <c r="A83" s="3"/>
      <c r="B83" s="2"/>
      <c r="C83" s="2"/>
      <c r="D83" s="2"/>
      <c r="E83" s="2"/>
    </row>
    <row r="84" spans="1:5" x14ac:dyDescent="0.25">
      <c r="A84" s="159" t="s">
        <v>61</v>
      </c>
      <c r="B84" s="159"/>
      <c r="C84" s="159"/>
      <c r="D84" s="159"/>
      <c r="E84" s="159"/>
    </row>
    <row r="86" spans="1:5" x14ac:dyDescent="0.25">
      <c r="A86" s="161" t="s">
        <v>261</v>
      </c>
      <c r="B86" s="156"/>
      <c r="C86" s="156"/>
      <c r="D86" s="156"/>
      <c r="E86" s="156"/>
    </row>
    <row r="87" spans="1:5" x14ac:dyDescent="0.25">
      <c r="A87" s="3" t="s">
        <v>62</v>
      </c>
      <c r="B87" s="5">
        <f>(B69)+(B86)</f>
        <v>379566.21</v>
      </c>
      <c r="C87" s="5">
        <f>(C69)+(C86)</f>
        <v>0</v>
      </c>
      <c r="D87" s="5">
        <f>(B87)-(C87)</f>
        <v>379566.21</v>
      </c>
      <c r="E87" s="4" t="str">
        <f>IF(C87=0,"",(B87)/(C87))</f>
        <v/>
      </c>
    </row>
    <row r="88" spans="1:5" x14ac:dyDescent="0.25">
      <c r="A88" s="3"/>
      <c r="B88" s="2"/>
      <c r="C88" s="2"/>
      <c r="D88" s="2"/>
      <c r="E88" s="2"/>
    </row>
    <row r="89" spans="1:5" x14ac:dyDescent="0.25">
      <c r="B89" t="s">
        <v>190</v>
      </c>
      <c r="C89" s="86">
        <v>22541.67</v>
      </c>
      <c r="D89" s="86"/>
    </row>
    <row r="90" spans="1:5" x14ac:dyDescent="0.25">
      <c r="B90" t="s">
        <v>191</v>
      </c>
      <c r="C90" s="86">
        <v>-10644.33</v>
      </c>
      <c r="D90" s="86">
        <f>+C90+C89</f>
        <v>11897.339999999998</v>
      </c>
    </row>
    <row r="91" spans="1:5" x14ac:dyDescent="0.25">
      <c r="B91" t="s">
        <v>192</v>
      </c>
      <c r="C91" s="86">
        <f>13516.67-27625</f>
        <v>-14108.33</v>
      </c>
      <c r="D91" s="86">
        <f>+D90+C91</f>
        <v>-2210.9900000000016</v>
      </c>
    </row>
    <row r="92" spans="1:5" x14ac:dyDescent="0.25">
      <c r="B92" t="s">
        <v>193</v>
      </c>
      <c r="C92" s="86">
        <v>21716.67</v>
      </c>
      <c r="D92" s="86">
        <f>+D91+C92</f>
        <v>19505.679999999997</v>
      </c>
    </row>
    <row r="93" spans="1:5" x14ac:dyDescent="0.25">
      <c r="B93" t="s">
        <v>194</v>
      </c>
      <c r="C93" s="86">
        <v>-22399.33</v>
      </c>
      <c r="D93" s="87">
        <f>+D92+C93</f>
        <v>-2893.6500000000051</v>
      </c>
    </row>
    <row r="94" spans="1:5" x14ac:dyDescent="0.25">
      <c r="B94" t="s">
        <v>195</v>
      </c>
      <c r="C94" s="86">
        <v>-16408.330000000002</v>
      </c>
      <c r="D94" s="86">
        <f t="shared" ref="D94:D100" si="6">+D93+C94</f>
        <v>-19301.980000000007</v>
      </c>
    </row>
    <row r="95" spans="1:5" x14ac:dyDescent="0.25">
      <c r="B95" t="s">
        <v>196</v>
      </c>
      <c r="C95" s="86">
        <v>27041.67</v>
      </c>
      <c r="D95" s="86">
        <f t="shared" si="6"/>
        <v>7739.6899999999914</v>
      </c>
    </row>
    <row r="96" spans="1:5" x14ac:dyDescent="0.25">
      <c r="B96" t="s">
        <v>197</v>
      </c>
      <c r="C96" s="86">
        <v>-28925.33</v>
      </c>
      <c r="D96" s="86">
        <f t="shared" si="6"/>
        <v>-21185.64000000001</v>
      </c>
    </row>
    <row r="97" spans="2:5" x14ac:dyDescent="0.25">
      <c r="B97" t="s">
        <v>198</v>
      </c>
      <c r="C97" s="86">
        <v>-14958.33</v>
      </c>
      <c r="D97" s="86">
        <f t="shared" si="6"/>
        <v>-36143.970000000008</v>
      </c>
    </row>
    <row r="98" spans="2:5" x14ac:dyDescent="0.25">
      <c r="B98" t="s">
        <v>199</v>
      </c>
      <c r="C98" s="86">
        <v>23491.67</v>
      </c>
      <c r="D98" s="86">
        <f t="shared" si="6"/>
        <v>-12652.30000000001</v>
      </c>
    </row>
    <row r="99" spans="2:5" x14ac:dyDescent="0.25">
      <c r="B99" t="s">
        <v>200</v>
      </c>
      <c r="C99" s="86">
        <v>-22100.33</v>
      </c>
      <c r="D99" s="86">
        <f t="shared" si="6"/>
        <v>-34752.630000000012</v>
      </c>
    </row>
    <row r="100" spans="2:5" x14ac:dyDescent="0.25">
      <c r="B100" t="s">
        <v>201</v>
      </c>
      <c r="C100" s="86">
        <v>-13458.37</v>
      </c>
      <c r="D100" s="86">
        <f t="shared" si="6"/>
        <v>-48211.000000000015</v>
      </c>
      <c r="E100" s="86">
        <v>27625</v>
      </c>
    </row>
    <row r="101" spans="2:5" x14ac:dyDescent="0.25">
      <c r="C101" s="86"/>
      <c r="D101" s="86"/>
      <c r="E101" t="s">
        <v>202</v>
      </c>
    </row>
  </sheetData>
  <mergeCells count="8">
    <mergeCell ref="A1:E1"/>
    <mergeCell ref="A2:E2"/>
    <mergeCell ref="A3:E3"/>
    <mergeCell ref="A84:E84"/>
    <mergeCell ref="A86:E86"/>
    <mergeCell ref="A77:E77"/>
    <mergeCell ref="A79:E79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A31E-3EAA-4F69-A6A3-6BFD0FDB0BC9}">
  <dimension ref="A1:K71"/>
  <sheetViews>
    <sheetView topLeftCell="A59" workbookViewId="0">
      <selection activeCell="B27" sqref="B27"/>
    </sheetView>
  </sheetViews>
  <sheetFormatPr defaultRowHeight="15" x14ac:dyDescent="0.25"/>
  <cols>
    <col min="1" max="1" width="40.42578125" customWidth="1"/>
    <col min="2" max="2" width="11.140625" customWidth="1"/>
    <col min="3" max="3" width="12" hidden="1" customWidth="1"/>
    <col min="4" max="4" width="11.140625" hidden="1" customWidth="1"/>
    <col min="5" max="6" width="10.28515625" hidden="1" customWidth="1"/>
    <col min="7" max="7" width="8.5703125" hidden="1" customWidth="1"/>
    <col min="8" max="9" width="11.140625" hidden="1" customWidth="1"/>
    <col min="10" max="10" width="11.140625" customWidth="1"/>
    <col min="11" max="11" width="12" customWidth="1"/>
  </cols>
  <sheetData>
    <row r="1" spans="1:11" ht="18" x14ac:dyDescent="0.25">
      <c r="A1" s="157" t="s">
        <v>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8" x14ac:dyDescent="0.25">
      <c r="A2" s="157" t="s">
        <v>279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x14ac:dyDescent="0.25">
      <c r="A3" s="160" t="s">
        <v>305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5" spans="1:11" ht="36.75" x14ac:dyDescent="0.25">
      <c r="A5" s="1"/>
      <c r="B5" s="139" t="s">
        <v>280</v>
      </c>
      <c r="C5" s="139" t="s">
        <v>281</v>
      </c>
      <c r="D5" s="139" t="s">
        <v>282</v>
      </c>
      <c r="E5" s="139" t="s">
        <v>283</v>
      </c>
      <c r="F5" s="139" t="s">
        <v>284</v>
      </c>
      <c r="G5" s="139" t="s">
        <v>285</v>
      </c>
      <c r="H5" s="139" t="s">
        <v>286</v>
      </c>
      <c r="I5" s="139" t="s">
        <v>287</v>
      </c>
      <c r="J5" s="139" t="s">
        <v>299</v>
      </c>
      <c r="K5" s="139" t="s">
        <v>130</v>
      </c>
    </row>
    <row r="6" spans="1:11" x14ac:dyDescent="0.25">
      <c r="A6" s="3" t="s">
        <v>124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3" t="s">
        <v>123</v>
      </c>
      <c r="B7" s="2"/>
      <c r="C7" s="2"/>
      <c r="D7" s="2"/>
      <c r="E7" s="2"/>
      <c r="F7" s="2"/>
      <c r="G7" s="2"/>
      <c r="H7" s="2"/>
      <c r="I7" s="2"/>
      <c r="J7" s="7">
        <f t="shared" ref="J7:J16" si="0">(((F7)+(G7))+(H7))+(I7)</f>
        <v>0</v>
      </c>
      <c r="K7" s="7">
        <f t="shared" ref="K7:K16" si="1">((((B7)+(C7))+(D7))+(E7))+(J7)</f>
        <v>0</v>
      </c>
    </row>
    <row r="8" spans="1:11" x14ac:dyDescent="0.25">
      <c r="A8" s="3" t="s">
        <v>122</v>
      </c>
      <c r="B8" s="2"/>
      <c r="C8" s="2"/>
      <c r="D8" s="2"/>
      <c r="E8" s="2"/>
      <c r="F8" s="7">
        <f>23380.35</f>
        <v>23380.35</v>
      </c>
      <c r="G8" s="7">
        <f>540</f>
        <v>540</v>
      </c>
      <c r="H8" s="2"/>
      <c r="I8" s="2"/>
      <c r="J8" s="7">
        <f t="shared" si="0"/>
        <v>23920.35</v>
      </c>
      <c r="K8" s="7">
        <f t="shared" si="1"/>
        <v>23920.35</v>
      </c>
    </row>
    <row r="9" spans="1:11" x14ac:dyDescent="0.25">
      <c r="A9" s="3" t="s">
        <v>121</v>
      </c>
      <c r="B9" s="2"/>
      <c r="C9" s="2"/>
      <c r="D9" s="2"/>
      <c r="E9" s="2"/>
      <c r="F9" s="2"/>
      <c r="G9" s="2"/>
      <c r="H9" s="2"/>
      <c r="I9" s="2"/>
      <c r="J9" s="7">
        <f t="shared" si="0"/>
        <v>0</v>
      </c>
      <c r="K9" s="7">
        <f t="shared" si="1"/>
        <v>0</v>
      </c>
    </row>
    <row r="10" spans="1:11" x14ac:dyDescent="0.25">
      <c r="A10" s="3" t="s">
        <v>120</v>
      </c>
      <c r="B10" s="2"/>
      <c r="C10" s="2"/>
      <c r="D10" s="2"/>
      <c r="E10" s="2"/>
      <c r="F10" s="7">
        <f>97673.03</f>
        <v>97673.03</v>
      </c>
      <c r="G10" s="2"/>
      <c r="H10" s="2"/>
      <c r="I10" s="2"/>
      <c r="J10" s="7">
        <f t="shared" si="0"/>
        <v>97673.03</v>
      </c>
      <c r="K10" s="7">
        <f t="shared" si="1"/>
        <v>97673.03</v>
      </c>
    </row>
    <row r="11" spans="1:11" x14ac:dyDescent="0.25">
      <c r="A11" s="3" t="s">
        <v>274</v>
      </c>
      <c r="B11" s="5">
        <f t="shared" ref="B11:I11" si="2">(B9)+(B10)</f>
        <v>0</v>
      </c>
      <c r="C11" s="5">
        <f t="shared" si="2"/>
        <v>0</v>
      </c>
      <c r="D11" s="5">
        <f t="shared" si="2"/>
        <v>0</v>
      </c>
      <c r="E11" s="5">
        <f t="shared" si="2"/>
        <v>0</v>
      </c>
      <c r="F11" s="5">
        <f t="shared" si="2"/>
        <v>97673.03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0"/>
        <v>97673.03</v>
      </c>
      <c r="K11" s="5">
        <f t="shared" si="1"/>
        <v>97673.03</v>
      </c>
    </row>
    <row r="12" spans="1:11" x14ac:dyDescent="0.25">
      <c r="A12" s="3" t="s">
        <v>275</v>
      </c>
      <c r="B12" s="7">
        <f>26666.72</f>
        <v>26666.720000000001</v>
      </c>
      <c r="C12" s="2"/>
      <c r="D12" s="2"/>
      <c r="E12" s="2"/>
      <c r="F12" s="2"/>
      <c r="G12" s="2"/>
      <c r="H12" s="2"/>
      <c r="I12" s="2"/>
      <c r="J12" s="7">
        <f t="shared" si="0"/>
        <v>0</v>
      </c>
      <c r="K12" s="7">
        <f t="shared" si="1"/>
        <v>26666.720000000001</v>
      </c>
    </row>
    <row r="13" spans="1:11" x14ac:dyDescent="0.25">
      <c r="A13" s="3" t="s">
        <v>119</v>
      </c>
      <c r="B13" s="5">
        <f t="shared" ref="B13:I13" si="3">(((B7)+(B8))+(B11))+(B12)</f>
        <v>26666.720000000001</v>
      </c>
      <c r="C13" s="5">
        <f t="shared" si="3"/>
        <v>0</v>
      </c>
      <c r="D13" s="5">
        <f t="shared" si="3"/>
        <v>0</v>
      </c>
      <c r="E13" s="5">
        <f t="shared" si="3"/>
        <v>0</v>
      </c>
      <c r="F13" s="5">
        <f t="shared" si="3"/>
        <v>121053.38</v>
      </c>
      <c r="G13" s="5">
        <f t="shared" si="3"/>
        <v>540</v>
      </c>
      <c r="H13" s="5">
        <f t="shared" si="3"/>
        <v>0</v>
      </c>
      <c r="I13" s="5">
        <f t="shared" si="3"/>
        <v>0</v>
      </c>
      <c r="J13" s="5">
        <f t="shared" si="0"/>
        <v>121593.38</v>
      </c>
      <c r="K13" s="5">
        <f t="shared" si="1"/>
        <v>148260.1</v>
      </c>
    </row>
    <row r="14" spans="1:11" x14ac:dyDescent="0.25">
      <c r="A14" s="3" t="s">
        <v>118</v>
      </c>
      <c r="B14" s="2"/>
      <c r="C14" s="2"/>
      <c r="D14" s="2"/>
      <c r="E14" s="2"/>
      <c r="F14" s="7">
        <f>580.63</f>
        <v>580.63</v>
      </c>
      <c r="G14" s="2"/>
      <c r="H14" s="2"/>
      <c r="I14" s="2"/>
      <c r="J14" s="7">
        <f t="shared" si="0"/>
        <v>580.63</v>
      </c>
      <c r="K14" s="7">
        <f t="shared" si="1"/>
        <v>580.63</v>
      </c>
    </row>
    <row r="15" spans="1:11" x14ac:dyDescent="0.25">
      <c r="A15" s="3" t="s">
        <v>117</v>
      </c>
      <c r="B15" s="5">
        <f t="shared" ref="B15:I15" si="4">(B13)+(B14)</f>
        <v>26666.720000000001</v>
      </c>
      <c r="C15" s="5">
        <f t="shared" si="4"/>
        <v>0</v>
      </c>
      <c r="D15" s="5">
        <f t="shared" si="4"/>
        <v>0</v>
      </c>
      <c r="E15" s="5">
        <f t="shared" si="4"/>
        <v>0</v>
      </c>
      <c r="F15" s="5">
        <f t="shared" si="4"/>
        <v>121634.01000000001</v>
      </c>
      <c r="G15" s="5">
        <f t="shared" si="4"/>
        <v>540</v>
      </c>
      <c r="H15" s="5">
        <f t="shared" si="4"/>
        <v>0</v>
      </c>
      <c r="I15" s="5">
        <f t="shared" si="4"/>
        <v>0</v>
      </c>
      <c r="J15" s="5">
        <f t="shared" si="0"/>
        <v>122174.01000000001</v>
      </c>
      <c r="K15" s="5">
        <f t="shared" si="1"/>
        <v>148840.73000000001</v>
      </c>
    </row>
    <row r="16" spans="1:11" x14ac:dyDescent="0.25">
      <c r="A16" s="3" t="s">
        <v>116</v>
      </c>
      <c r="B16" s="5">
        <f t="shared" ref="B16:I16" si="5">(B15)-(0)</f>
        <v>26666.720000000001</v>
      </c>
      <c r="C16" s="5">
        <f t="shared" si="5"/>
        <v>0</v>
      </c>
      <c r="D16" s="5">
        <f t="shared" si="5"/>
        <v>0</v>
      </c>
      <c r="E16" s="5">
        <f t="shared" si="5"/>
        <v>0</v>
      </c>
      <c r="F16" s="5">
        <f t="shared" si="5"/>
        <v>121634.01000000001</v>
      </c>
      <c r="G16" s="5">
        <f t="shared" si="5"/>
        <v>540</v>
      </c>
      <c r="H16" s="5">
        <f t="shared" si="5"/>
        <v>0</v>
      </c>
      <c r="I16" s="5">
        <f t="shared" si="5"/>
        <v>0</v>
      </c>
      <c r="J16" s="5">
        <f t="shared" si="0"/>
        <v>122174.01000000001</v>
      </c>
      <c r="K16" s="5">
        <f t="shared" si="1"/>
        <v>148840.73000000001</v>
      </c>
    </row>
    <row r="17" spans="1:11" x14ac:dyDescent="0.25">
      <c r="A17" s="3" t="s">
        <v>115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3" t="s">
        <v>260</v>
      </c>
      <c r="B18" s="7">
        <f>2478.13</f>
        <v>2478.13</v>
      </c>
      <c r="C18" s="2"/>
      <c r="D18" s="2"/>
      <c r="E18" s="2"/>
      <c r="F18" s="2"/>
      <c r="G18" s="7">
        <f>36</f>
        <v>36</v>
      </c>
      <c r="H18" s="2"/>
      <c r="I18" s="7">
        <f>55.2</f>
        <v>55.2</v>
      </c>
      <c r="J18" s="7">
        <f t="shared" ref="J18:J53" si="6">(((F18)+(G18))+(H18))+(I18)</f>
        <v>91.2</v>
      </c>
      <c r="K18" s="7">
        <f t="shared" ref="K18:K53" si="7">((((B18)+(C18))+(D18))+(E18))+(J18)</f>
        <v>2569.33</v>
      </c>
    </row>
    <row r="19" spans="1:11" x14ac:dyDescent="0.25">
      <c r="A19" s="3" t="s">
        <v>114</v>
      </c>
      <c r="B19" s="2"/>
      <c r="C19" s="2"/>
      <c r="D19" s="2"/>
      <c r="E19" s="2"/>
      <c r="F19" s="2"/>
      <c r="G19" s="2"/>
      <c r="H19" s="7">
        <f>432.12</f>
        <v>432.12</v>
      </c>
      <c r="I19" s="2"/>
      <c r="J19" s="7">
        <f t="shared" si="6"/>
        <v>432.12</v>
      </c>
      <c r="K19" s="7">
        <f t="shared" si="7"/>
        <v>432.12</v>
      </c>
    </row>
    <row r="20" spans="1:11" x14ac:dyDescent="0.25">
      <c r="A20" s="3" t="s">
        <v>113</v>
      </c>
      <c r="B20" s="2"/>
      <c r="C20" s="2"/>
      <c r="D20" s="2"/>
      <c r="E20" s="2"/>
      <c r="F20" s="2"/>
      <c r="G20" s="2"/>
      <c r="H20" s="7">
        <f>100</f>
        <v>100</v>
      </c>
      <c r="I20" s="2"/>
      <c r="J20" s="7">
        <f t="shared" si="6"/>
        <v>100</v>
      </c>
      <c r="K20" s="7">
        <f t="shared" si="7"/>
        <v>100</v>
      </c>
    </row>
    <row r="21" spans="1:11" x14ac:dyDescent="0.25">
      <c r="A21" s="3" t="s">
        <v>111</v>
      </c>
      <c r="B21" s="2"/>
      <c r="C21" s="2"/>
      <c r="D21" s="2"/>
      <c r="E21" s="2"/>
      <c r="F21" s="2"/>
      <c r="G21" s="2"/>
      <c r="H21" s="7">
        <f>264.05</f>
        <v>264.05</v>
      </c>
      <c r="I21" s="2"/>
      <c r="J21" s="7">
        <f t="shared" si="6"/>
        <v>264.05</v>
      </c>
      <c r="K21" s="7">
        <f t="shared" si="7"/>
        <v>264.05</v>
      </c>
    </row>
    <row r="22" spans="1:11" x14ac:dyDescent="0.25">
      <c r="A22" s="3" t="s">
        <v>110</v>
      </c>
      <c r="B22" s="2"/>
      <c r="C22" s="2"/>
      <c r="D22" s="2"/>
      <c r="E22" s="2"/>
      <c r="F22" s="2"/>
      <c r="G22" s="7">
        <f>250</f>
        <v>250</v>
      </c>
      <c r="H22" s="2"/>
      <c r="I22" s="2"/>
      <c r="J22" s="7">
        <f t="shared" si="6"/>
        <v>250</v>
      </c>
      <c r="K22" s="7">
        <f t="shared" si="7"/>
        <v>250</v>
      </c>
    </row>
    <row r="23" spans="1:11" x14ac:dyDescent="0.25">
      <c r="A23" s="3" t="s">
        <v>109</v>
      </c>
      <c r="B23" s="2"/>
      <c r="C23" s="2"/>
      <c r="D23" s="2"/>
      <c r="E23" s="2"/>
      <c r="F23" s="2"/>
      <c r="G23" s="2"/>
      <c r="H23" s="2"/>
      <c r="I23" s="7">
        <f>24000</f>
        <v>24000</v>
      </c>
      <c r="J23" s="7">
        <f t="shared" si="6"/>
        <v>24000</v>
      </c>
      <c r="K23" s="7">
        <f t="shared" si="7"/>
        <v>24000</v>
      </c>
    </row>
    <row r="24" spans="1:11" x14ac:dyDescent="0.25">
      <c r="A24" s="3" t="s">
        <v>107</v>
      </c>
      <c r="B24" s="2"/>
      <c r="C24" s="2"/>
      <c r="D24" s="2"/>
      <c r="E24" s="2"/>
      <c r="F24" s="2"/>
      <c r="G24" s="2"/>
      <c r="H24" s="7">
        <f>800</f>
        <v>800</v>
      </c>
      <c r="I24" s="2"/>
      <c r="J24" s="7">
        <f t="shared" si="6"/>
        <v>800</v>
      </c>
      <c r="K24" s="7">
        <f t="shared" si="7"/>
        <v>800</v>
      </c>
    </row>
    <row r="25" spans="1:11" x14ac:dyDescent="0.25">
      <c r="A25" s="3" t="s">
        <v>105</v>
      </c>
      <c r="B25" s="2"/>
      <c r="C25" s="2"/>
      <c r="D25" s="2"/>
      <c r="E25" s="2"/>
      <c r="F25" s="2"/>
      <c r="G25" s="2"/>
      <c r="H25" s="2"/>
      <c r="I25" s="2"/>
      <c r="J25" s="7">
        <f t="shared" si="6"/>
        <v>0</v>
      </c>
      <c r="K25" s="7">
        <f t="shared" si="7"/>
        <v>0</v>
      </c>
    </row>
    <row r="26" spans="1:11" x14ac:dyDescent="0.25">
      <c r="A26" s="3" t="s">
        <v>104</v>
      </c>
      <c r="B26" s="2"/>
      <c r="C26" s="2"/>
      <c r="D26" s="2"/>
      <c r="E26" s="2"/>
      <c r="F26" s="2"/>
      <c r="G26" s="2"/>
      <c r="H26" s="7">
        <f>1910</f>
        <v>1910</v>
      </c>
      <c r="I26" s="2"/>
      <c r="J26" s="7">
        <f t="shared" si="6"/>
        <v>1910</v>
      </c>
      <c r="K26" s="7">
        <f t="shared" si="7"/>
        <v>1910</v>
      </c>
    </row>
    <row r="27" spans="1:11" x14ac:dyDescent="0.25">
      <c r="A27" s="3" t="s">
        <v>103</v>
      </c>
      <c r="B27" s="7">
        <f>26541.25</f>
        <v>26541.25</v>
      </c>
      <c r="C27" s="2"/>
      <c r="D27" s="2"/>
      <c r="E27" s="2"/>
      <c r="F27" s="2"/>
      <c r="G27" s="2"/>
      <c r="H27" s="7">
        <f>63767.25</f>
        <v>63767.25</v>
      </c>
      <c r="I27" s="2"/>
      <c r="J27" s="7">
        <f t="shared" si="6"/>
        <v>63767.25</v>
      </c>
      <c r="K27" s="7">
        <f t="shared" si="7"/>
        <v>90308.5</v>
      </c>
    </row>
    <row r="28" spans="1:11" x14ac:dyDescent="0.25">
      <c r="A28" s="3" t="s">
        <v>102</v>
      </c>
      <c r="B28" s="2"/>
      <c r="C28" s="2"/>
      <c r="D28" s="2"/>
      <c r="E28" s="2"/>
      <c r="F28" s="2"/>
      <c r="G28" s="2"/>
      <c r="H28" s="7">
        <f>263</f>
        <v>263</v>
      </c>
      <c r="I28" s="2"/>
      <c r="J28" s="7">
        <f t="shared" si="6"/>
        <v>263</v>
      </c>
      <c r="K28" s="7">
        <f t="shared" si="7"/>
        <v>263</v>
      </c>
    </row>
    <row r="29" spans="1:11" x14ac:dyDescent="0.25">
      <c r="A29" s="3" t="s">
        <v>101</v>
      </c>
      <c r="B29" s="7">
        <f>2654.21</f>
        <v>2654.21</v>
      </c>
      <c r="C29" s="2"/>
      <c r="D29" s="2"/>
      <c r="E29" s="2"/>
      <c r="F29" s="2"/>
      <c r="G29" s="2"/>
      <c r="H29" s="7">
        <f>7054.24</f>
        <v>7054.24</v>
      </c>
      <c r="I29" s="2"/>
      <c r="J29" s="7">
        <f t="shared" si="6"/>
        <v>7054.24</v>
      </c>
      <c r="K29" s="7">
        <f t="shared" si="7"/>
        <v>9708.4500000000007</v>
      </c>
    </row>
    <row r="30" spans="1:11" x14ac:dyDescent="0.25">
      <c r="A30" s="3" t="s">
        <v>100</v>
      </c>
      <c r="B30" s="5">
        <f t="shared" ref="B30:I30" si="8">((((B25)+(B26))+(B27))+(B28))+(B29)</f>
        <v>29195.46</v>
      </c>
      <c r="C30" s="5">
        <f t="shared" si="8"/>
        <v>0</v>
      </c>
      <c r="D30" s="5">
        <f t="shared" si="8"/>
        <v>0</v>
      </c>
      <c r="E30" s="5">
        <f t="shared" si="8"/>
        <v>0</v>
      </c>
      <c r="F30" s="5">
        <f t="shared" si="8"/>
        <v>0</v>
      </c>
      <c r="G30" s="5">
        <f t="shared" si="8"/>
        <v>0</v>
      </c>
      <c r="H30" s="5">
        <f t="shared" si="8"/>
        <v>72994.490000000005</v>
      </c>
      <c r="I30" s="5">
        <f t="shared" si="8"/>
        <v>0</v>
      </c>
      <c r="J30" s="5">
        <f t="shared" si="6"/>
        <v>72994.490000000005</v>
      </c>
      <c r="K30" s="5">
        <f t="shared" si="7"/>
        <v>102189.95000000001</v>
      </c>
    </row>
    <row r="31" spans="1:11" x14ac:dyDescent="0.25">
      <c r="A31" s="3" t="s">
        <v>99</v>
      </c>
      <c r="B31" s="2"/>
      <c r="C31" s="2"/>
      <c r="D31" s="2"/>
      <c r="E31" s="2"/>
      <c r="F31" s="2"/>
      <c r="G31" s="2"/>
      <c r="H31" s="2"/>
      <c r="I31" s="2"/>
      <c r="J31" s="7">
        <f t="shared" si="6"/>
        <v>0</v>
      </c>
      <c r="K31" s="7">
        <f t="shared" si="7"/>
        <v>0</v>
      </c>
    </row>
    <row r="32" spans="1:11" x14ac:dyDescent="0.25">
      <c r="A32" s="3" t="s">
        <v>98</v>
      </c>
      <c r="B32" s="2"/>
      <c r="C32" s="2"/>
      <c r="D32" s="2"/>
      <c r="E32" s="2"/>
      <c r="F32" s="2"/>
      <c r="G32" s="2"/>
      <c r="H32" s="7">
        <f>17600</f>
        <v>17600</v>
      </c>
      <c r="I32" s="2"/>
      <c r="J32" s="7">
        <f t="shared" si="6"/>
        <v>17600</v>
      </c>
      <c r="K32" s="7">
        <f t="shared" si="7"/>
        <v>17600</v>
      </c>
    </row>
    <row r="33" spans="1:11" x14ac:dyDescent="0.25">
      <c r="A33" s="3" t="s">
        <v>97</v>
      </c>
      <c r="B33" s="2"/>
      <c r="C33" s="2"/>
      <c r="D33" s="2"/>
      <c r="E33" s="2"/>
      <c r="F33" s="2"/>
      <c r="G33" s="2"/>
      <c r="H33" s="7">
        <f>8305</f>
        <v>8305</v>
      </c>
      <c r="I33" s="2"/>
      <c r="J33" s="7">
        <f t="shared" si="6"/>
        <v>8305</v>
      </c>
      <c r="K33" s="7">
        <f t="shared" si="7"/>
        <v>8305</v>
      </c>
    </row>
    <row r="34" spans="1:11" x14ac:dyDescent="0.25">
      <c r="A34" s="3" t="s">
        <v>95</v>
      </c>
      <c r="B34" s="5">
        <f t="shared" ref="B34:I34" si="9">((B31)+(B32))+(B33)</f>
        <v>0</v>
      </c>
      <c r="C34" s="5">
        <f t="shared" si="9"/>
        <v>0</v>
      </c>
      <c r="D34" s="5">
        <f t="shared" si="9"/>
        <v>0</v>
      </c>
      <c r="E34" s="5">
        <f t="shared" si="9"/>
        <v>0</v>
      </c>
      <c r="F34" s="5">
        <f t="shared" si="9"/>
        <v>0</v>
      </c>
      <c r="G34" s="5">
        <f t="shared" si="9"/>
        <v>0</v>
      </c>
      <c r="H34" s="5">
        <f t="shared" si="9"/>
        <v>25905</v>
      </c>
      <c r="I34" s="5">
        <f t="shared" si="9"/>
        <v>0</v>
      </c>
      <c r="J34" s="5">
        <f t="shared" si="6"/>
        <v>25905</v>
      </c>
      <c r="K34" s="5">
        <f t="shared" si="7"/>
        <v>25905</v>
      </c>
    </row>
    <row r="35" spans="1:11" x14ac:dyDescent="0.25">
      <c r="A35" s="3" t="s">
        <v>94</v>
      </c>
      <c r="B35" s="2"/>
      <c r="C35" s="2"/>
      <c r="D35" s="2"/>
      <c r="E35" s="2"/>
      <c r="F35" s="2"/>
      <c r="G35" s="2"/>
      <c r="H35" s="2"/>
      <c r="I35" s="2"/>
      <c r="J35" s="7">
        <f t="shared" si="6"/>
        <v>0</v>
      </c>
      <c r="K35" s="7">
        <f t="shared" si="7"/>
        <v>0</v>
      </c>
    </row>
    <row r="36" spans="1:11" x14ac:dyDescent="0.25">
      <c r="A36" s="3" t="s">
        <v>93</v>
      </c>
      <c r="B36" s="2"/>
      <c r="C36" s="2"/>
      <c r="D36" s="2"/>
      <c r="E36" s="2"/>
      <c r="F36" s="2"/>
      <c r="G36" s="2"/>
      <c r="H36" s="2"/>
      <c r="I36" s="7">
        <f>0</f>
        <v>0</v>
      </c>
      <c r="J36" s="7">
        <f t="shared" si="6"/>
        <v>0</v>
      </c>
      <c r="K36" s="7">
        <f t="shared" si="7"/>
        <v>0</v>
      </c>
    </row>
    <row r="37" spans="1:11" x14ac:dyDescent="0.25">
      <c r="A37" s="3" t="s">
        <v>92</v>
      </c>
      <c r="B37" s="2"/>
      <c r="C37" s="2"/>
      <c r="D37" s="2"/>
      <c r="E37" s="2"/>
      <c r="F37" s="2"/>
      <c r="G37" s="2"/>
      <c r="H37" s="7">
        <f>8603.38</f>
        <v>8603.3799999999992</v>
      </c>
      <c r="I37" s="2"/>
      <c r="J37" s="7">
        <f t="shared" si="6"/>
        <v>8603.3799999999992</v>
      </c>
      <c r="K37" s="7">
        <f t="shared" si="7"/>
        <v>8603.3799999999992</v>
      </c>
    </row>
    <row r="38" spans="1:11" x14ac:dyDescent="0.25">
      <c r="A38" s="3" t="s">
        <v>91</v>
      </c>
      <c r="B38" s="5">
        <f t="shared" ref="B38:I38" si="10">((B35)+(B36))+(B37)</f>
        <v>0</v>
      </c>
      <c r="C38" s="5">
        <f t="shared" si="10"/>
        <v>0</v>
      </c>
      <c r="D38" s="5">
        <f t="shared" si="10"/>
        <v>0</v>
      </c>
      <c r="E38" s="5">
        <f t="shared" si="10"/>
        <v>0</v>
      </c>
      <c r="F38" s="5">
        <f t="shared" si="10"/>
        <v>0</v>
      </c>
      <c r="G38" s="5">
        <f t="shared" si="10"/>
        <v>0</v>
      </c>
      <c r="H38" s="5">
        <f t="shared" si="10"/>
        <v>8603.3799999999992</v>
      </c>
      <c r="I38" s="5">
        <f t="shared" si="10"/>
        <v>0</v>
      </c>
      <c r="J38" s="5">
        <f t="shared" si="6"/>
        <v>8603.3799999999992</v>
      </c>
      <c r="K38" s="5">
        <f t="shared" si="7"/>
        <v>8603.3799999999992</v>
      </c>
    </row>
    <row r="39" spans="1:11" x14ac:dyDescent="0.25">
      <c r="A39" s="3" t="s">
        <v>90</v>
      </c>
      <c r="B39" s="2"/>
      <c r="C39" s="2"/>
      <c r="D39" s="2"/>
      <c r="E39" s="2"/>
      <c r="F39" s="2"/>
      <c r="G39" s="2"/>
      <c r="H39" s="7">
        <f>445.52</f>
        <v>445.52</v>
      </c>
      <c r="I39" s="2"/>
      <c r="J39" s="7">
        <f t="shared" si="6"/>
        <v>445.52</v>
      </c>
      <c r="K39" s="7">
        <f t="shared" si="7"/>
        <v>445.52</v>
      </c>
    </row>
    <row r="40" spans="1:11" x14ac:dyDescent="0.25">
      <c r="A40" s="3" t="s">
        <v>89</v>
      </c>
      <c r="B40" s="2"/>
      <c r="C40" s="2"/>
      <c r="D40" s="2"/>
      <c r="E40" s="2"/>
      <c r="F40" s="2"/>
      <c r="G40" s="7">
        <f>170</f>
        <v>170</v>
      </c>
      <c r="H40" s="7">
        <f>250</f>
        <v>250</v>
      </c>
      <c r="I40" s="2"/>
      <c r="J40" s="7">
        <f t="shared" si="6"/>
        <v>420</v>
      </c>
      <c r="K40" s="7">
        <f t="shared" si="7"/>
        <v>420</v>
      </c>
    </row>
    <row r="41" spans="1:11" x14ac:dyDescent="0.25">
      <c r="A41" s="3" t="s">
        <v>88</v>
      </c>
      <c r="B41" s="7">
        <f>15.11</f>
        <v>15.11</v>
      </c>
      <c r="C41" s="2"/>
      <c r="D41" s="2"/>
      <c r="E41" s="2"/>
      <c r="F41" s="2"/>
      <c r="G41" s="2"/>
      <c r="H41" s="2"/>
      <c r="I41" s="7">
        <f>240</f>
        <v>240</v>
      </c>
      <c r="J41" s="7">
        <f t="shared" si="6"/>
        <v>240</v>
      </c>
      <c r="K41" s="7">
        <f t="shared" si="7"/>
        <v>255.11</v>
      </c>
    </row>
    <row r="42" spans="1:11" x14ac:dyDescent="0.25">
      <c r="A42" s="3" t="s">
        <v>87</v>
      </c>
      <c r="B42" s="7">
        <f>533.59</f>
        <v>533.59</v>
      </c>
      <c r="C42" s="2"/>
      <c r="D42" s="2"/>
      <c r="E42" s="2"/>
      <c r="F42" s="2"/>
      <c r="G42" s="2"/>
      <c r="H42" s="7">
        <f>433.92</f>
        <v>433.92</v>
      </c>
      <c r="I42" s="2"/>
      <c r="J42" s="7">
        <f t="shared" si="6"/>
        <v>433.92</v>
      </c>
      <c r="K42" s="7">
        <f t="shared" si="7"/>
        <v>967.51</v>
      </c>
    </row>
    <row r="43" spans="1:11" x14ac:dyDescent="0.25">
      <c r="A43" s="3" t="s">
        <v>86</v>
      </c>
      <c r="B43" s="7">
        <f>32.61</f>
        <v>32.61</v>
      </c>
      <c r="C43" s="2"/>
      <c r="D43" s="2"/>
      <c r="E43" s="2"/>
      <c r="F43" s="2"/>
      <c r="G43" s="7">
        <f>280.05</f>
        <v>280.05</v>
      </c>
      <c r="H43" s="7">
        <f>952.68</f>
        <v>952.68</v>
      </c>
      <c r="I43" s="2"/>
      <c r="J43" s="7">
        <f t="shared" si="6"/>
        <v>1232.73</v>
      </c>
      <c r="K43" s="7">
        <f t="shared" si="7"/>
        <v>1265.3399999999999</v>
      </c>
    </row>
    <row r="44" spans="1:11" x14ac:dyDescent="0.25">
      <c r="A44" s="3" t="s">
        <v>85</v>
      </c>
      <c r="B44" s="2"/>
      <c r="C44" s="2"/>
      <c r="D44" s="2"/>
      <c r="E44" s="2"/>
      <c r="F44" s="2"/>
      <c r="G44" s="2"/>
      <c r="H44" s="7">
        <f>140</f>
        <v>140</v>
      </c>
      <c r="I44" s="2"/>
      <c r="J44" s="7">
        <f t="shared" si="6"/>
        <v>140</v>
      </c>
      <c r="K44" s="7">
        <f t="shared" si="7"/>
        <v>140</v>
      </c>
    </row>
    <row r="45" spans="1:11" x14ac:dyDescent="0.25">
      <c r="A45" s="3" t="s">
        <v>84</v>
      </c>
      <c r="B45" s="2"/>
      <c r="C45" s="2"/>
      <c r="D45" s="2"/>
      <c r="E45" s="2"/>
      <c r="F45" s="2"/>
      <c r="G45" s="2"/>
      <c r="H45" s="7">
        <f>1594.75</f>
        <v>1594.75</v>
      </c>
      <c r="I45" s="2"/>
      <c r="J45" s="7">
        <f t="shared" si="6"/>
        <v>1594.75</v>
      </c>
      <c r="K45" s="7">
        <f t="shared" si="7"/>
        <v>1594.75</v>
      </c>
    </row>
    <row r="46" spans="1:11" x14ac:dyDescent="0.25">
      <c r="A46" s="3" t="s">
        <v>83</v>
      </c>
      <c r="B46" s="5">
        <f t="shared" ref="B46:I46" si="11">((((((B39)+(B40))+(B41))+(B42))+(B43))+(B44))+(B45)</f>
        <v>581.31000000000006</v>
      </c>
      <c r="C46" s="5">
        <f t="shared" si="11"/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450.05</v>
      </c>
      <c r="H46" s="5">
        <f t="shared" si="11"/>
        <v>3816.87</v>
      </c>
      <c r="I46" s="5">
        <f t="shared" si="11"/>
        <v>240</v>
      </c>
      <c r="J46" s="5">
        <f t="shared" si="6"/>
        <v>4506.92</v>
      </c>
      <c r="K46" s="5">
        <f t="shared" si="7"/>
        <v>5088.2300000000005</v>
      </c>
    </row>
    <row r="47" spans="1:11" x14ac:dyDescent="0.25">
      <c r="A47" s="3" t="s">
        <v>82</v>
      </c>
      <c r="B47" s="2"/>
      <c r="C47" s="2"/>
      <c r="D47" s="2"/>
      <c r="E47" s="2"/>
      <c r="F47" s="2"/>
      <c r="G47" s="2"/>
      <c r="H47" s="2"/>
      <c r="I47" s="2"/>
      <c r="J47" s="7">
        <f t="shared" si="6"/>
        <v>0</v>
      </c>
      <c r="K47" s="7">
        <f t="shared" si="7"/>
        <v>0</v>
      </c>
    </row>
    <row r="48" spans="1:11" x14ac:dyDescent="0.25">
      <c r="A48" s="3" t="s">
        <v>277</v>
      </c>
      <c r="B48" s="7">
        <f>90</f>
        <v>90</v>
      </c>
      <c r="C48" s="2"/>
      <c r="D48" s="2"/>
      <c r="E48" s="2"/>
      <c r="F48" s="2"/>
      <c r="G48" s="2"/>
      <c r="H48" s="2"/>
      <c r="I48" s="2"/>
      <c r="J48" s="7">
        <f t="shared" si="6"/>
        <v>0</v>
      </c>
      <c r="K48" s="7">
        <f t="shared" si="7"/>
        <v>90</v>
      </c>
    </row>
    <row r="49" spans="1:11" x14ac:dyDescent="0.25">
      <c r="A49" s="3" t="s">
        <v>81</v>
      </c>
      <c r="B49" s="7">
        <f>1000</f>
        <v>1000</v>
      </c>
      <c r="C49" s="2"/>
      <c r="D49" s="2"/>
      <c r="E49" s="2"/>
      <c r="F49" s="2"/>
      <c r="G49" s="2"/>
      <c r="H49" s="2"/>
      <c r="I49" s="2"/>
      <c r="J49" s="7">
        <f t="shared" si="6"/>
        <v>0</v>
      </c>
      <c r="K49" s="7">
        <f t="shared" si="7"/>
        <v>1000</v>
      </c>
    </row>
    <row r="50" spans="1:11" x14ac:dyDescent="0.25">
      <c r="A50" s="3" t="s">
        <v>78</v>
      </c>
      <c r="B50" s="5">
        <f t="shared" ref="B50:I50" si="12">((B47)+(B48))+(B49)</f>
        <v>1090</v>
      </c>
      <c r="C50" s="5">
        <f t="shared" si="12"/>
        <v>0</v>
      </c>
      <c r="D50" s="5">
        <f t="shared" si="12"/>
        <v>0</v>
      </c>
      <c r="E50" s="5">
        <f t="shared" si="12"/>
        <v>0</v>
      </c>
      <c r="F50" s="5">
        <f t="shared" si="12"/>
        <v>0</v>
      </c>
      <c r="G50" s="5">
        <f t="shared" si="12"/>
        <v>0</v>
      </c>
      <c r="H50" s="5">
        <f t="shared" si="12"/>
        <v>0</v>
      </c>
      <c r="I50" s="5">
        <f t="shared" si="12"/>
        <v>0</v>
      </c>
      <c r="J50" s="5">
        <f t="shared" si="6"/>
        <v>0</v>
      </c>
      <c r="K50" s="5">
        <f t="shared" si="7"/>
        <v>1090</v>
      </c>
    </row>
    <row r="51" spans="1:11" x14ac:dyDescent="0.25">
      <c r="A51" s="3" t="s">
        <v>278</v>
      </c>
      <c r="B51" s="2"/>
      <c r="C51" s="2"/>
      <c r="D51" s="2"/>
      <c r="E51" s="2"/>
      <c r="F51" s="2"/>
      <c r="G51" s="2"/>
      <c r="H51" s="2"/>
      <c r="I51" s="7">
        <f>9250</f>
        <v>9250</v>
      </c>
      <c r="J51" s="7">
        <f t="shared" si="6"/>
        <v>9250</v>
      </c>
      <c r="K51" s="7">
        <f t="shared" si="7"/>
        <v>9250</v>
      </c>
    </row>
    <row r="52" spans="1:11" x14ac:dyDescent="0.25">
      <c r="A52" s="3" t="s">
        <v>77</v>
      </c>
      <c r="B52" s="5">
        <f t="shared" ref="B52:I52" si="13">((((((((((((B18)+(B19))+(B20))+(B21))+(B22))+(B23))+(B24))+(B30))+(B34))+(B38))+(B46))+(B50))+(B51)</f>
        <v>33344.9</v>
      </c>
      <c r="C52" s="5">
        <f t="shared" si="13"/>
        <v>0</v>
      </c>
      <c r="D52" s="5">
        <f t="shared" si="13"/>
        <v>0</v>
      </c>
      <c r="E52" s="5">
        <f t="shared" si="13"/>
        <v>0</v>
      </c>
      <c r="F52" s="5">
        <f t="shared" si="13"/>
        <v>0</v>
      </c>
      <c r="G52" s="5">
        <f t="shared" si="13"/>
        <v>736.05</v>
      </c>
      <c r="H52" s="5">
        <f t="shared" si="13"/>
        <v>112915.91</v>
      </c>
      <c r="I52" s="5">
        <f t="shared" si="13"/>
        <v>33545.199999999997</v>
      </c>
      <c r="J52" s="5">
        <f t="shared" si="6"/>
        <v>147197.16</v>
      </c>
      <c r="K52" s="5">
        <f t="shared" si="7"/>
        <v>180542.06</v>
      </c>
    </row>
    <row r="53" spans="1:11" x14ac:dyDescent="0.25">
      <c r="A53" s="3" t="s">
        <v>76</v>
      </c>
      <c r="B53" s="5">
        <f t="shared" ref="B53:I53" si="14">(B16)-(B52)</f>
        <v>-6678.18</v>
      </c>
      <c r="C53" s="5">
        <f t="shared" si="14"/>
        <v>0</v>
      </c>
      <c r="D53" s="5">
        <f t="shared" si="14"/>
        <v>0</v>
      </c>
      <c r="E53" s="5">
        <f t="shared" si="14"/>
        <v>0</v>
      </c>
      <c r="F53" s="5">
        <f t="shared" si="14"/>
        <v>121634.01000000001</v>
      </c>
      <c r="G53" s="5">
        <f t="shared" si="14"/>
        <v>-196.04999999999995</v>
      </c>
      <c r="H53" s="5">
        <f t="shared" si="14"/>
        <v>-112915.91</v>
      </c>
      <c r="I53" s="5">
        <f t="shared" si="14"/>
        <v>-33545.199999999997</v>
      </c>
      <c r="J53" s="5">
        <f t="shared" si="6"/>
        <v>-25023.149999999994</v>
      </c>
      <c r="K53" s="5">
        <f t="shared" si="7"/>
        <v>-31701.329999999994</v>
      </c>
    </row>
    <row r="54" spans="1:11" x14ac:dyDescent="0.25">
      <c r="A54" s="3" t="s">
        <v>75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3" t="s">
        <v>74</v>
      </c>
      <c r="B55" s="2"/>
      <c r="C55" s="7">
        <f>0</f>
        <v>0</v>
      </c>
      <c r="D55" s="7">
        <f>0</f>
        <v>0</v>
      </c>
      <c r="E55" s="7">
        <f>1084390.27</f>
        <v>1084390.27</v>
      </c>
      <c r="F55" s="7">
        <f>0</f>
        <v>0</v>
      </c>
      <c r="G55" s="2"/>
      <c r="H55" s="2"/>
      <c r="I55" s="2"/>
      <c r="J55" s="7">
        <f t="shared" ref="J55:J62" si="15">(((F55)+(G55))+(H55))+(I55)</f>
        <v>0</v>
      </c>
      <c r="K55" s="7">
        <f t="shared" ref="K55:K62" si="16">((((B55)+(C55))+(D55))+(E55))+(J55)</f>
        <v>1084390.27</v>
      </c>
    </row>
    <row r="56" spans="1:11" x14ac:dyDescent="0.25">
      <c r="A56" s="3" t="s">
        <v>73</v>
      </c>
      <c r="B56" s="2"/>
      <c r="C56" s="2"/>
      <c r="D56" s="2"/>
      <c r="E56" s="2"/>
      <c r="F56" s="2"/>
      <c r="G56" s="2"/>
      <c r="H56" s="2"/>
      <c r="I56" s="2"/>
      <c r="J56" s="7">
        <f t="shared" si="15"/>
        <v>0</v>
      </c>
      <c r="K56" s="7">
        <f t="shared" si="16"/>
        <v>0</v>
      </c>
    </row>
    <row r="57" spans="1:11" x14ac:dyDescent="0.25">
      <c r="A57" s="3" t="s">
        <v>72</v>
      </c>
      <c r="B57" s="2"/>
      <c r="C57" s="7">
        <f>70542.29</f>
        <v>70542.289999999994</v>
      </c>
      <c r="D57" s="7">
        <f>10405.65</f>
        <v>10405.65</v>
      </c>
      <c r="E57" s="7">
        <f>61718.03</f>
        <v>61718.03</v>
      </c>
      <c r="F57" s="7">
        <f>5637.57</f>
        <v>5637.57</v>
      </c>
      <c r="G57" s="2"/>
      <c r="H57" s="2"/>
      <c r="I57" s="2"/>
      <c r="J57" s="7">
        <f t="shared" si="15"/>
        <v>5637.57</v>
      </c>
      <c r="K57" s="7">
        <f t="shared" si="16"/>
        <v>148303.53999999998</v>
      </c>
    </row>
    <row r="58" spans="1:11" x14ac:dyDescent="0.25">
      <c r="A58" s="3" t="s">
        <v>203</v>
      </c>
      <c r="B58" s="2"/>
      <c r="C58" s="7">
        <f>15812.79</f>
        <v>15812.79</v>
      </c>
      <c r="D58" s="7">
        <f>2333.39</f>
        <v>2333.39</v>
      </c>
      <c r="E58" s="7">
        <f>13473.01</f>
        <v>13473.01</v>
      </c>
      <c r="F58" s="7">
        <f>1280.18</f>
        <v>1280.18</v>
      </c>
      <c r="G58" s="2"/>
      <c r="H58" s="2"/>
      <c r="I58" s="2"/>
      <c r="J58" s="7">
        <f t="shared" si="15"/>
        <v>1280.18</v>
      </c>
      <c r="K58" s="7">
        <f t="shared" si="16"/>
        <v>32899.370000000003</v>
      </c>
    </row>
    <row r="59" spans="1:11" x14ac:dyDescent="0.25">
      <c r="A59" s="3" t="s">
        <v>71</v>
      </c>
      <c r="B59" s="2"/>
      <c r="C59" s="7">
        <f>110860.93</f>
        <v>110860.93</v>
      </c>
      <c r="D59" s="7">
        <f>15500.68</f>
        <v>15500.68</v>
      </c>
      <c r="E59" s="7">
        <f>85609.94</f>
        <v>85609.94</v>
      </c>
      <c r="F59" s="7">
        <f>7715.67</f>
        <v>7715.67</v>
      </c>
      <c r="G59" s="2"/>
      <c r="H59" s="2"/>
      <c r="I59" s="2"/>
      <c r="J59" s="7">
        <f t="shared" si="15"/>
        <v>7715.67</v>
      </c>
      <c r="K59" s="7">
        <f t="shared" si="16"/>
        <v>219687.22</v>
      </c>
    </row>
    <row r="60" spans="1:11" x14ac:dyDescent="0.25">
      <c r="A60" s="3" t="s">
        <v>70</v>
      </c>
      <c r="B60" s="2"/>
      <c r="C60" s="7">
        <f>-10387</f>
        <v>-10387</v>
      </c>
      <c r="D60" s="7">
        <f>-1519.83</f>
        <v>-1519.83</v>
      </c>
      <c r="E60" s="7">
        <f>-9417.09</f>
        <v>-9417.09</v>
      </c>
      <c r="F60" s="7">
        <f>0</f>
        <v>0</v>
      </c>
      <c r="G60" s="2"/>
      <c r="H60" s="2"/>
      <c r="I60" s="2"/>
      <c r="J60" s="7">
        <f t="shared" si="15"/>
        <v>0</v>
      </c>
      <c r="K60" s="7">
        <f t="shared" si="16"/>
        <v>-21323.919999999998</v>
      </c>
    </row>
    <row r="61" spans="1:11" x14ac:dyDescent="0.25">
      <c r="A61" s="3" t="s">
        <v>69</v>
      </c>
      <c r="B61" s="5">
        <f t="shared" ref="B61:I61" si="17">((((B56)+(B57))+(B58))+(B59))+(B60)</f>
        <v>0</v>
      </c>
      <c r="C61" s="5">
        <f t="shared" si="17"/>
        <v>186829.00999999998</v>
      </c>
      <c r="D61" s="5">
        <f t="shared" si="17"/>
        <v>26719.89</v>
      </c>
      <c r="E61" s="5">
        <f t="shared" si="17"/>
        <v>151383.88999999998</v>
      </c>
      <c r="F61" s="5">
        <f t="shared" si="17"/>
        <v>14633.42</v>
      </c>
      <c r="G61" s="5">
        <f t="shared" si="17"/>
        <v>0</v>
      </c>
      <c r="H61" s="5">
        <f t="shared" si="17"/>
        <v>0</v>
      </c>
      <c r="I61" s="5">
        <f t="shared" si="17"/>
        <v>0</v>
      </c>
      <c r="J61" s="5">
        <f t="shared" si="15"/>
        <v>14633.42</v>
      </c>
      <c r="K61" s="5">
        <f t="shared" si="16"/>
        <v>379566.2099999999</v>
      </c>
    </row>
    <row r="62" spans="1:11" x14ac:dyDescent="0.25">
      <c r="A62" s="3" t="s">
        <v>67</v>
      </c>
      <c r="B62" s="5">
        <f t="shared" ref="B62:I62" si="18">(B55)+(B61)</f>
        <v>0</v>
      </c>
      <c r="C62" s="5">
        <f t="shared" si="18"/>
        <v>186829.00999999998</v>
      </c>
      <c r="D62" s="5">
        <f t="shared" si="18"/>
        <v>26719.89</v>
      </c>
      <c r="E62" s="5">
        <f t="shared" si="18"/>
        <v>1235774.1599999999</v>
      </c>
      <c r="F62" s="5">
        <f t="shared" si="18"/>
        <v>14633.42</v>
      </c>
      <c r="G62" s="5">
        <f t="shared" si="18"/>
        <v>0</v>
      </c>
      <c r="H62" s="5">
        <f t="shared" si="18"/>
        <v>0</v>
      </c>
      <c r="I62" s="5">
        <f t="shared" si="18"/>
        <v>0</v>
      </c>
      <c r="J62" s="5">
        <f t="shared" si="15"/>
        <v>14633.42</v>
      </c>
      <c r="K62" s="5">
        <f t="shared" si="16"/>
        <v>1463956.4799999997</v>
      </c>
    </row>
    <row r="63" spans="1:11" x14ac:dyDescent="0.25">
      <c r="A63" s="3" t="s">
        <v>66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3" t="s">
        <v>65</v>
      </c>
      <c r="B64" s="2"/>
      <c r="C64" s="7">
        <f>314968.91</f>
        <v>314968.90999999997</v>
      </c>
      <c r="D64" s="7">
        <f>40368.97</f>
        <v>40368.97</v>
      </c>
      <c r="E64" s="7">
        <f>721062.5</f>
        <v>721062.5</v>
      </c>
      <c r="F64" s="7">
        <f>-4600</f>
        <v>-4600</v>
      </c>
      <c r="G64" s="2"/>
      <c r="H64" s="2"/>
      <c r="I64" s="2"/>
      <c r="J64" s="7">
        <f>(((F64)+(G64))+(H64))+(I64)</f>
        <v>-4600</v>
      </c>
      <c r="K64" s="7">
        <f>((((B64)+(C64))+(D64))+(E64))+(J64)</f>
        <v>1071800.3799999999</v>
      </c>
    </row>
    <row r="65" spans="1:11" x14ac:dyDescent="0.25">
      <c r="A65" s="3" t="s">
        <v>64</v>
      </c>
      <c r="B65" s="5">
        <f t="shared" ref="B65:I65" si="19">B64</f>
        <v>0</v>
      </c>
      <c r="C65" s="5">
        <f t="shared" si="19"/>
        <v>314968.90999999997</v>
      </c>
      <c r="D65" s="5">
        <f t="shared" si="19"/>
        <v>40368.97</v>
      </c>
      <c r="E65" s="5">
        <f t="shared" si="19"/>
        <v>721062.5</v>
      </c>
      <c r="F65" s="5">
        <f t="shared" si="19"/>
        <v>-4600</v>
      </c>
      <c r="G65" s="5">
        <f t="shared" si="19"/>
        <v>0</v>
      </c>
      <c r="H65" s="5">
        <f t="shared" si="19"/>
        <v>0</v>
      </c>
      <c r="I65" s="5">
        <f t="shared" si="19"/>
        <v>0</v>
      </c>
      <c r="J65" s="5">
        <f>(((F65)+(G65))+(H65))+(I65)</f>
        <v>-4600</v>
      </c>
      <c r="K65" s="5">
        <f>((((B65)+(C65))+(D65))+(E65))+(J65)</f>
        <v>1071800.3799999999</v>
      </c>
    </row>
    <row r="66" spans="1:11" x14ac:dyDescent="0.25">
      <c r="A66" s="3" t="s">
        <v>63</v>
      </c>
      <c r="B66" s="5">
        <f t="shared" ref="B66:I66" si="20">(B62)-(B65)</f>
        <v>0</v>
      </c>
      <c r="C66" s="5">
        <f t="shared" si="20"/>
        <v>-128139.9</v>
      </c>
      <c r="D66" s="5">
        <f t="shared" si="20"/>
        <v>-13649.080000000002</v>
      </c>
      <c r="E66" s="5">
        <f t="shared" si="20"/>
        <v>514711.65999999992</v>
      </c>
      <c r="F66" s="5">
        <f t="shared" si="20"/>
        <v>19233.419999999998</v>
      </c>
      <c r="G66" s="5">
        <f t="shared" si="20"/>
        <v>0</v>
      </c>
      <c r="H66" s="5">
        <f t="shared" si="20"/>
        <v>0</v>
      </c>
      <c r="I66" s="5">
        <f t="shared" si="20"/>
        <v>0</v>
      </c>
      <c r="J66" s="5">
        <f>(((F66)+(G66))+(H66))+(I66)</f>
        <v>19233.419999999998</v>
      </c>
      <c r="K66" s="5">
        <f>((((B66)+(C66))+(D66))+(E66))+(J66)</f>
        <v>392156.09999999992</v>
      </c>
    </row>
    <row r="67" spans="1:11" x14ac:dyDescent="0.25">
      <c r="A67" s="3" t="s">
        <v>62</v>
      </c>
      <c r="B67" s="5">
        <f t="shared" ref="B67:I67" si="21">(B53)+(B66)</f>
        <v>-6678.18</v>
      </c>
      <c r="C67" s="5">
        <f t="shared" si="21"/>
        <v>-128139.9</v>
      </c>
      <c r="D67" s="5">
        <f t="shared" si="21"/>
        <v>-13649.080000000002</v>
      </c>
      <c r="E67" s="5">
        <f t="shared" si="21"/>
        <v>514711.65999999992</v>
      </c>
      <c r="F67" s="5">
        <f t="shared" si="21"/>
        <v>140867.43</v>
      </c>
      <c r="G67" s="5">
        <f t="shared" si="21"/>
        <v>-196.04999999999995</v>
      </c>
      <c r="H67" s="5">
        <f t="shared" si="21"/>
        <v>-112915.91</v>
      </c>
      <c r="I67" s="5">
        <f t="shared" si="21"/>
        <v>-33545.199999999997</v>
      </c>
      <c r="J67" s="5">
        <f>(((F67)+(G67))+(H67))+(I67)</f>
        <v>-5789.7299999999959</v>
      </c>
      <c r="K67" s="5">
        <f>((((B67)+(C67))+(D67))+(E67))+(J67)</f>
        <v>360454.76999999996</v>
      </c>
    </row>
    <row r="68" spans="1:1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59" t="s">
        <v>61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</row>
    <row r="71" spans="1:11" x14ac:dyDescent="0.25">
      <c r="A71" s="161" t="s">
        <v>307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</row>
  </sheetData>
  <mergeCells count="5">
    <mergeCell ref="A1:K1"/>
    <mergeCell ref="A2:K2"/>
    <mergeCell ref="A3:K3"/>
    <mergeCell ref="A69:K69"/>
    <mergeCell ref="A71:K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4"/>
  <sheetViews>
    <sheetView workbookViewId="0">
      <selection activeCell="F18" sqref="F18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57" t="s">
        <v>59</v>
      </c>
      <c r="B1" s="156"/>
      <c r="C1" s="156"/>
      <c r="D1" s="156"/>
      <c r="E1" s="156"/>
      <c r="F1" s="156"/>
      <c r="G1" s="156"/>
    </row>
    <row r="2" spans="1:7" ht="18" x14ac:dyDescent="0.25">
      <c r="A2" s="157" t="s">
        <v>136</v>
      </c>
      <c r="B2" s="156"/>
      <c r="C2" s="156"/>
      <c r="D2" s="156"/>
      <c r="E2" s="156"/>
      <c r="F2" s="156"/>
      <c r="G2" s="156"/>
    </row>
    <row r="3" spans="1:7" x14ac:dyDescent="0.25">
      <c r="A3" s="160" t="s">
        <v>303</v>
      </c>
      <c r="B3" s="156"/>
      <c r="C3" s="156"/>
      <c r="D3" s="156"/>
      <c r="E3" s="156"/>
      <c r="F3" s="156"/>
      <c r="G3" s="156"/>
    </row>
    <row r="5" spans="1:7" x14ac:dyDescent="0.25">
      <c r="A5" s="1"/>
      <c r="B5" s="139" t="s">
        <v>135</v>
      </c>
      <c r="C5" s="139" t="s">
        <v>134</v>
      </c>
      <c r="D5" s="139" t="s">
        <v>133</v>
      </c>
      <c r="E5" s="139" t="s">
        <v>132</v>
      </c>
      <c r="F5" s="139" t="s">
        <v>131</v>
      </c>
      <c r="G5" s="139" t="s">
        <v>0</v>
      </c>
    </row>
    <row r="6" spans="1:7" x14ac:dyDescent="0.25">
      <c r="A6" s="3" t="s">
        <v>308</v>
      </c>
      <c r="B6" s="2"/>
      <c r="C6" s="2"/>
      <c r="D6" s="2"/>
      <c r="E6" s="2"/>
      <c r="F6" s="7">
        <f>500</f>
        <v>500</v>
      </c>
      <c r="G6" s="7">
        <f>((((B6)+(C6))+(D6))+(E6))+(F6)</f>
        <v>500</v>
      </c>
    </row>
    <row r="7" spans="1:7" x14ac:dyDescent="0.25">
      <c r="A7" s="3" t="s">
        <v>309</v>
      </c>
      <c r="B7" s="2"/>
      <c r="C7" s="2"/>
      <c r="D7" s="7">
        <f>4755</f>
        <v>4755</v>
      </c>
      <c r="E7" s="2"/>
      <c r="F7" s="2"/>
      <c r="G7" s="7">
        <f>((((B7)+(C7))+(D7))+(E7))+(F7)</f>
        <v>4755</v>
      </c>
    </row>
    <row r="8" spans="1:7" x14ac:dyDescent="0.25">
      <c r="A8" s="3" t="s">
        <v>288</v>
      </c>
      <c r="B8" s="7">
        <f>367.5</f>
        <v>367.5</v>
      </c>
      <c r="C8" s="2"/>
      <c r="D8" s="2"/>
      <c r="E8" s="2"/>
      <c r="F8" s="2"/>
      <c r="G8" s="7">
        <f>((((B8)+(C8))+(D8))+(E8))+(F8)</f>
        <v>367.5</v>
      </c>
    </row>
    <row r="9" spans="1:7" x14ac:dyDescent="0.25">
      <c r="A9" s="3" t="s">
        <v>296</v>
      </c>
      <c r="B9" s="7">
        <f>2200</f>
        <v>2200</v>
      </c>
      <c r="C9" s="2"/>
      <c r="D9" s="2"/>
      <c r="E9" s="2"/>
      <c r="F9" s="2"/>
      <c r="G9" s="7">
        <f>((((B9)+(C9))+(D9))+(E9))+(F9)</f>
        <v>2200</v>
      </c>
    </row>
    <row r="10" spans="1:7" x14ac:dyDescent="0.25">
      <c r="A10" s="3" t="s">
        <v>130</v>
      </c>
      <c r="B10" s="5">
        <f>(((B6)+(B7))+(B8))+(B9)</f>
        <v>2567.5</v>
      </c>
      <c r="C10" s="5">
        <f>(((C6)+(C7))+(C8))+(C9)</f>
        <v>0</v>
      </c>
      <c r="D10" s="5">
        <f>(((D6)+(D7))+(D8))+(D9)</f>
        <v>4755</v>
      </c>
      <c r="E10" s="5">
        <f>(((E6)+(E7))+(E8))+(E9)</f>
        <v>0</v>
      </c>
      <c r="F10" s="5">
        <f>(((F6)+(F7))+(F8))+(F9)</f>
        <v>500</v>
      </c>
      <c r="G10" s="5">
        <f>((((B10)+(C10))+(D10))+(E10))+(F10)</f>
        <v>7822.5</v>
      </c>
    </row>
    <row r="11" spans="1:7" x14ac:dyDescent="0.25">
      <c r="A11" s="3"/>
      <c r="B11" s="2"/>
      <c r="C11" s="2"/>
      <c r="D11" s="2"/>
      <c r="E11" s="2"/>
      <c r="F11" s="2"/>
      <c r="G11" s="2"/>
    </row>
    <row r="14" spans="1:7" x14ac:dyDescent="0.25">
      <c r="A14" s="161" t="s">
        <v>310</v>
      </c>
      <c r="B14" s="156"/>
      <c r="C14" s="156"/>
      <c r="D14" s="156"/>
      <c r="E14" s="156"/>
      <c r="F14" s="156"/>
      <c r="G14" s="156"/>
    </row>
  </sheetData>
  <mergeCells count="4">
    <mergeCell ref="A1:G1"/>
    <mergeCell ref="A2:G2"/>
    <mergeCell ref="A3:G3"/>
    <mergeCell ref="A14:G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F17" sqref="F17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57" t="s">
        <v>59</v>
      </c>
      <c r="B1" s="156"/>
      <c r="C1" s="156"/>
      <c r="D1" s="156"/>
      <c r="E1" s="156"/>
      <c r="F1" s="156"/>
      <c r="G1" s="156"/>
    </row>
    <row r="2" spans="1:7" ht="18" x14ac:dyDescent="0.25">
      <c r="A2" s="157" t="s">
        <v>292</v>
      </c>
      <c r="B2" s="156"/>
      <c r="C2" s="156"/>
      <c r="D2" s="156"/>
      <c r="E2" s="156"/>
      <c r="F2" s="156"/>
      <c r="G2" s="156"/>
    </row>
    <row r="3" spans="1:7" x14ac:dyDescent="0.25">
      <c r="A3" s="160" t="s">
        <v>303</v>
      </c>
      <c r="B3" s="156"/>
      <c r="C3" s="156"/>
      <c r="D3" s="156"/>
      <c r="E3" s="156"/>
      <c r="F3" s="156"/>
      <c r="G3" s="156"/>
    </row>
    <row r="5" spans="1:7" x14ac:dyDescent="0.25">
      <c r="A5" s="1"/>
      <c r="B5" s="139" t="s">
        <v>135</v>
      </c>
      <c r="C5" s="139" t="s">
        <v>134</v>
      </c>
      <c r="D5" s="139" t="s">
        <v>133</v>
      </c>
      <c r="E5" s="139" t="s">
        <v>132</v>
      </c>
      <c r="F5" s="139" t="s">
        <v>131</v>
      </c>
      <c r="G5" s="139" t="s">
        <v>0</v>
      </c>
    </row>
    <row r="6" spans="1:7" x14ac:dyDescent="0.25">
      <c r="A6" s="3" t="s">
        <v>300</v>
      </c>
      <c r="B6" s="7">
        <f>6666.68</f>
        <v>6666.68</v>
      </c>
      <c r="C6" s="7">
        <f>3333.34</f>
        <v>3333.34</v>
      </c>
      <c r="D6" s="7">
        <f>3333.34</f>
        <v>3333.34</v>
      </c>
      <c r="E6" s="7">
        <f>3333.34</f>
        <v>3333.34</v>
      </c>
      <c r="F6" s="7">
        <f>10000.02</f>
        <v>10000.02</v>
      </c>
      <c r="G6" s="7">
        <f>((((B6)+(C6))+(D6))+(E6))+(F6)</f>
        <v>26666.720000000001</v>
      </c>
    </row>
    <row r="7" spans="1:7" x14ac:dyDescent="0.25">
      <c r="A7" s="3" t="s">
        <v>130</v>
      </c>
      <c r="B7" s="5">
        <f>B6</f>
        <v>6666.68</v>
      </c>
      <c r="C7" s="5">
        <f>C6</f>
        <v>3333.34</v>
      </c>
      <c r="D7" s="5">
        <f>D6</f>
        <v>3333.34</v>
      </c>
      <c r="E7" s="5">
        <f>E6</f>
        <v>3333.34</v>
      </c>
      <c r="F7" s="5">
        <f>F6</f>
        <v>10000.02</v>
      </c>
      <c r="G7" s="5">
        <f>((((B7)+(C7))+(D7))+(E7))+(F7)</f>
        <v>26666.720000000001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61" t="s">
        <v>311</v>
      </c>
      <c r="B11" s="156"/>
      <c r="C11" s="156"/>
      <c r="D11" s="156"/>
      <c r="E11" s="156"/>
      <c r="F11" s="156"/>
      <c r="G11" s="156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29D9-6321-411C-8950-DE7C0D0DD6B8}">
  <sheetPr>
    <tabColor rgb="FF92D050"/>
  </sheetPr>
  <dimension ref="A1:BE101"/>
  <sheetViews>
    <sheetView topLeftCell="A4" zoomScale="110" zoomScaleNormal="110" workbookViewId="0">
      <pane xSplit="1" ySplit="3" topLeftCell="Y7" activePane="bottomRight" state="frozen"/>
      <selection activeCell="A4" sqref="A4"/>
      <selection pane="topRight" activeCell="B4" sqref="B4"/>
      <selection pane="bottomLeft" activeCell="A7" sqref="A7"/>
      <selection pane="bottomRight" activeCell="Y12" sqref="Y12"/>
    </sheetView>
  </sheetViews>
  <sheetFormatPr defaultRowHeight="15" x14ac:dyDescent="0.25"/>
  <cols>
    <col min="1" max="1" width="40.42578125" customWidth="1"/>
    <col min="2" max="5" width="16.28515625" customWidth="1"/>
    <col min="6" max="6" width="9.140625" customWidth="1"/>
    <col min="7" max="7" width="9.140625" hidden="1" customWidth="1"/>
    <col min="8" max="9" width="13.42578125" hidden="1" customWidth="1"/>
    <col min="10" max="10" width="11.28515625" hidden="1" customWidth="1"/>
    <col min="11" max="11" width="12.28515625" hidden="1" customWidth="1"/>
    <col min="12" max="12" width="9.140625" hidden="1" customWidth="1"/>
    <col min="13" max="13" width="13.140625" hidden="1" customWidth="1"/>
    <col min="14" max="16" width="11" hidden="1" customWidth="1"/>
    <col min="17" max="17" width="12.140625" hidden="1" customWidth="1"/>
    <col min="18" max="18" width="11.7109375" hidden="1" customWidth="1"/>
    <col min="19" max="19" width="11.7109375" customWidth="1"/>
    <col min="20" max="20" width="13.7109375" customWidth="1"/>
    <col min="21" max="21" width="11.7109375" customWidth="1"/>
    <col min="22" max="22" width="9.5703125" bestFit="1" customWidth="1"/>
    <col min="23" max="23" width="13.42578125" bestFit="1" customWidth="1"/>
    <col min="24" max="24" width="10.42578125" customWidth="1"/>
    <col min="25" max="25" width="13.7109375" style="86" bestFit="1" customWidth="1"/>
    <col min="26" max="32" width="13.7109375" style="86" customWidth="1"/>
    <col min="35" max="35" width="12.85546875" customWidth="1"/>
    <col min="36" max="36" width="18" hidden="1" customWidth="1"/>
    <col min="37" max="37" width="13.85546875" hidden="1" customWidth="1"/>
    <col min="38" max="38" width="0" hidden="1" customWidth="1"/>
    <col min="39" max="39" width="20.140625" customWidth="1"/>
    <col min="40" max="40" width="13.42578125" customWidth="1"/>
    <col min="41" max="41" width="12.140625" bestFit="1" customWidth="1"/>
    <col min="43" max="43" width="14.7109375" bestFit="1" customWidth="1"/>
    <col min="44" max="44" width="11" bestFit="1" customWidth="1"/>
    <col min="45" max="45" width="10.140625" bestFit="1" customWidth="1"/>
    <col min="46" max="47" width="11" bestFit="1" customWidth="1"/>
    <col min="49" max="49" width="12.140625" bestFit="1" customWidth="1"/>
  </cols>
  <sheetData>
    <row r="1" spans="1:57" ht="18" x14ac:dyDescent="0.25">
      <c r="A1" s="157" t="s">
        <v>59</v>
      </c>
      <c r="B1" s="156"/>
      <c r="C1" s="156"/>
      <c r="D1" s="156"/>
      <c r="E1" s="156"/>
    </row>
    <row r="2" spans="1:57" ht="18" x14ac:dyDescent="0.25">
      <c r="A2" s="157" t="s">
        <v>129</v>
      </c>
      <c r="B2" s="156"/>
      <c r="C2" s="156"/>
      <c r="D2" s="156"/>
      <c r="E2" s="156"/>
    </row>
    <row r="3" spans="1:57" x14ac:dyDescent="0.25">
      <c r="A3" s="160" t="s">
        <v>259</v>
      </c>
      <c r="B3" s="156"/>
      <c r="C3" s="156"/>
      <c r="D3" s="156"/>
      <c r="E3" s="156"/>
    </row>
    <row r="5" spans="1:57" ht="15.75" thickBot="1" x14ac:dyDescent="0.3">
      <c r="A5" s="1"/>
      <c r="B5" s="162" t="s">
        <v>0</v>
      </c>
      <c r="C5" s="163"/>
      <c r="D5" s="163"/>
      <c r="E5" s="163"/>
      <c r="M5" s="110" t="s">
        <v>206</v>
      </c>
      <c r="T5" s="164">
        <v>2022</v>
      </c>
      <c r="U5" s="165"/>
      <c r="V5" s="165"/>
      <c r="W5" s="165"/>
      <c r="X5" s="138"/>
      <c r="Y5" s="164">
        <v>2023</v>
      </c>
      <c r="Z5" s="165"/>
      <c r="AA5" s="166"/>
      <c r="AB5"/>
      <c r="AC5"/>
      <c r="AD5"/>
      <c r="AE5"/>
      <c r="AF5"/>
      <c r="AS5" t="s">
        <v>219</v>
      </c>
      <c r="AU5" t="s">
        <v>220</v>
      </c>
    </row>
    <row r="6" spans="1:57" ht="57" customHeight="1" x14ac:dyDescent="0.25">
      <c r="A6" s="1"/>
      <c r="B6" s="139" t="s">
        <v>128</v>
      </c>
      <c r="C6" s="139" t="s">
        <v>127</v>
      </c>
      <c r="D6" s="139" t="s">
        <v>126</v>
      </c>
      <c r="E6" s="139" t="s">
        <v>125</v>
      </c>
      <c r="H6" s="139" t="s">
        <v>128</v>
      </c>
      <c r="I6" s="139" t="s">
        <v>127</v>
      </c>
      <c r="J6" s="139" t="s">
        <v>126</v>
      </c>
      <c r="M6" s="88" t="s">
        <v>252</v>
      </c>
      <c r="N6" s="88" t="s">
        <v>249</v>
      </c>
      <c r="O6" s="88" t="s">
        <v>251</v>
      </c>
      <c r="P6" s="88" t="s">
        <v>0</v>
      </c>
      <c r="Q6" s="88" t="s">
        <v>250</v>
      </c>
      <c r="T6" s="88" t="s">
        <v>264</v>
      </c>
      <c r="U6" s="88" t="s">
        <v>270</v>
      </c>
      <c r="V6" s="88" t="s">
        <v>256</v>
      </c>
      <c r="W6" s="88" t="s">
        <v>253</v>
      </c>
      <c r="X6" s="116" t="s">
        <v>257</v>
      </c>
      <c r="Y6" s="88" t="s">
        <v>252</v>
      </c>
      <c r="Z6" s="88" t="s">
        <v>254</v>
      </c>
      <c r="AA6" s="88" t="s">
        <v>255</v>
      </c>
      <c r="AB6" s="88"/>
      <c r="AC6" s="88"/>
      <c r="AD6" s="88"/>
      <c r="AE6" s="88"/>
      <c r="AF6" s="88"/>
      <c r="AJ6" t="s">
        <v>207</v>
      </c>
      <c r="AM6" s="94" t="s">
        <v>210</v>
      </c>
      <c r="AO6" t="s">
        <v>246</v>
      </c>
      <c r="AR6" t="s">
        <v>215</v>
      </c>
      <c r="AS6" t="s">
        <v>216</v>
      </c>
      <c r="AT6" t="s">
        <v>217</v>
      </c>
      <c r="AU6">
        <v>48</v>
      </c>
      <c r="AV6" t="s">
        <v>219</v>
      </c>
      <c r="AW6" t="s">
        <v>245</v>
      </c>
    </row>
    <row r="7" spans="1:57" x14ac:dyDescent="0.25">
      <c r="A7" s="3" t="s">
        <v>124</v>
      </c>
      <c r="B7" s="2"/>
      <c r="C7" s="2"/>
      <c r="D7" s="2"/>
      <c r="E7" s="2"/>
      <c r="N7" s="85"/>
      <c r="O7" s="85"/>
      <c r="P7" s="85"/>
      <c r="Q7" s="85"/>
      <c r="R7" s="85"/>
      <c r="S7" s="85"/>
      <c r="U7" s="85"/>
      <c r="V7" s="85"/>
      <c r="W7" s="85"/>
      <c r="X7" s="117"/>
      <c r="AJ7" s="85">
        <v>15400000</v>
      </c>
      <c r="AK7" t="s">
        <v>208</v>
      </c>
      <c r="AN7" s="85">
        <v>40000</v>
      </c>
      <c r="AO7" s="85">
        <v>120000</v>
      </c>
      <c r="AQ7" t="s">
        <v>213</v>
      </c>
      <c r="AR7" s="85">
        <f>41.5*1.03</f>
        <v>42.745000000000005</v>
      </c>
      <c r="AS7" s="85">
        <v>15</v>
      </c>
      <c r="AT7" s="85">
        <f>+AR7*AS7</f>
        <v>641.17500000000007</v>
      </c>
      <c r="AU7" s="85">
        <f>+AT7*$AU$6</f>
        <v>30776.400000000001</v>
      </c>
      <c r="AV7">
        <v>25</v>
      </c>
      <c r="AW7" s="85">
        <f>+AR7*AV7*AU6</f>
        <v>51294</v>
      </c>
      <c r="AX7">
        <v>5</v>
      </c>
      <c r="AY7" s="91">
        <f>+AX7*AR7</f>
        <v>213.72500000000002</v>
      </c>
      <c r="AZ7">
        <f>+AY7*AU6</f>
        <v>10258.800000000001</v>
      </c>
    </row>
    <row r="8" spans="1:57" ht="15.75" thickBot="1" x14ac:dyDescent="0.3">
      <c r="A8" s="3" t="s">
        <v>123</v>
      </c>
      <c r="B8" s="2"/>
      <c r="C8" s="2"/>
      <c r="D8" s="7">
        <f t="shared" ref="D8:D12" si="0">(B8)-(C8)</f>
        <v>0</v>
      </c>
      <c r="E8" s="6" t="str">
        <f t="shared" ref="E8:E18" si="1">IF(C8=0,"",(B8)/(C8))</f>
        <v/>
      </c>
      <c r="N8" s="85"/>
      <c r="O8" s="85"/>
      <c r="P8" s="85"/>
      <c r="Q8" s="85"/>
      <c r="R8" s="85"/>
      <c r="S8" s="85"/>
      <c r="U8" s="85"/>
      <c r="V8" s="85"/>
      <c r="W8" s="85"/>
      <c r="X8" s="117"/>
      <c r="AJ8" s="85">
        <v>15000000</v>
      </c>
      <c r="AK8" s="85">
        <f>+AJ8*0.01</f>
        <v>150000</v>
      </c>
      <c r="AM8" t="s">
        <v>211</v>
      </c>
      <c r="AN8" s="85">
        <f>+AU12</f>
        <v>74240.399999999994</v>
      </c>
      <c r="AQ8" t="s">
        <v>214</v>
      </c>
      <c r="AR8" s="85">
        <v>25</v>
      </c>
      <c r="AS8" s="85">
        <v>15</v>
      </c>
      <c r="AT8" s="85">
        <f>+AR8*AS8</f>
        <v>375</v>
      </c>
      <c r="AU8" s="85">
        <f>+AT8*$AU$6</f>
        <v>18000</v>
      </c>
      <c r="AV8">
        <v>22</v>
      </c>
      <c r="AW8" s="85">
        <f>+AV8*AR8*AU6</f>
        <v>26400</v>
      </c>
      <c r="AX8">
        <v>7</v>
      </c>
      <c r="AY8" s="91">
        <f>+AX8*AR8</f>
        <v>175</v>
      </c>
      <c r="AZ8">
        <f>+AY8*AU6</f>
        <v>8400</v>
      </c>
      <c r="BC8">
        <v>2022</v>
      </c>
      <c r="BD8">
        <v>2023</v>
      </c>
    </row>
    <row r="9" spans="1:57" x14ac:dyDescent="0.25">
      <c r="A9" s="3" t="s">
        <v>122</v>
      </c>
      <c r="B9" s="7">
        <f>31136.09</f>
        <v>31136.09</v>
      </c>
      <c r="C9" s="7">
        <f>33000</f>
        <v>33000</v>
      </c>
      <c r="D9" s="7">
        <f t="shared" si="0"/>
        <v>-1863.9099999999999</v>
      </c>
      <c r="E9" s="6">
        <f t="shared" si="1"/>
        <v>0.94351787878787874</v>
      </c>
      <c r="M9" s="7">
        <v>32000</v>
      </c>
      <c r="N9" s="100"/>
      <c r="O9" s="101"/>
      <c r="P9" s="102"/>
      <c r="Q9" s="7">
        <f>+M9+P9</f>
        <v>32000</v>
      </c>
      <c r="R9" s="85"/>
      <c r="S9" s="85"/>
      <c r="T9" s="114">
        <f>+B9</f>
        <v>31136.09</v>
      </c>
      <c r="U9" s="114">
        <f>333.333333333333+1250+360</f>
        <v>1943.333333333333</v>
      </c>
      <c r="V9" s="114">
        <f>+T9+U9</f>
        <v>33079.423333333332</v>
      </c>
      <c r="W9" s="114">
        <v>35000</v>
      </c>
      <c r="X9" s="118">
        <f>+W9-V9</f>
        <v>1920.5766666666677</v>
      </c>
      <c r="Y9" s="111">
        <f>+M9+O9</f>
        <v>32000</v>
      </c>
      <c r="Z9" s="111">
        <f>+N9+P9</f>
        <v>0</v>
      </c>
      <c r="AA9" s="111">
        <f>+Y9+Z9</f>
        <v>32000</v>
      </c>
      <c r="AB9" s="111"/>
      <c r="AC9" s="111"/>
      <c r="AD9" s="111"/>
      <c r="AE9" s="111"/>
      <c r="AF9" s="111"/>
      <c r="AJ9" s="90" t="s">
        <v>209</v>
      </c>
      <c r="AK9" s="85">
        <v>155000</v>
      </c>
      <c r="AM9" t="s">
        <v>231</v>
      </c>
      <c r="AN9" s="85">
        <f>+AN8*0.1</f>
        <v>7424.04</v>
      </c>
      <c r="AQ9" t="s">
        <v>218</v>
      </c>
      <c r="AR9" s="85">
        <v>53.05</v>
      </c>
      <c r="AS9" s="85">
        <v>10</v>
      </c>
      <c r="AT9" s="85">
        <f>+AR9*AS9</f>
        <v>530.5</v>
      </c>
      <c r="AU9" s="85">
        <f>+AT9*$AU$6</f>
        <v>25464</v>
      </c>
      <c r="AV9">
        <v>25</v>
      </c>
      <c r="AW9" s="85">
        <f>+AV9*AR9*AU6</f>
        <v>63660</v>
      </c>
      <c r="BB9" t="s">
        <v>247</v>
      </c>
      <c r="BC9">
        <v>117</v>
      </c>
      <c r="BD9">
        <v>141</v>
      </c>
      <c r="BE9">
        <f>+BD9-BC9</f>
        <v>24</v>
      </c>
    </row>
    <row r="10" spans="1:57" x14ac:dyDescent="0.25">
      <c r="A10" s="3" t="s">
        <v>265</v>
      </c>
      <c r="B10" s="7"/>
      <c r="C10" s="7"/>
      <c r="D10" s="7"/>
      <c r="E10" s="6"/>
      <c r="M10" s="7"/>
      <c r="N10" s="103"/>
      <c r="O10" s="7"/>
      <c r="P10" s="104"/>
      <c r="Q10" s="7"/>
      <c r="R10" s="85"/>
      <c r="S10" s="85"/>
      <c r="T10" s="114"/>
      <c r="U10" s="114"/>
      <c r="V10" s="114"/>
      <c r="W10" s="114"/>
      <c r="X10" s="118">
        <f t="shared" ref="X10:X12" si="2">+W10-V10</f>
        <v>0</v>
      </c>
      <c r="Y10" s="111"/>
      <c r="Z10" s="111">
        <v>40000</v>
      </c>
      <c r="AA10" s="111">
        <f>+Y10+Z10</f>
        <v>40000</v>
      </c>
      <c r="AB10" s="111"/>
      <c r="AC10" s="111"/>
      <c r="AD10" s="111"/>
      <c r="AE10" s="111"/>
      <c r="AF10" s="111"/>
      <c r="AJ10" s="90"/>
      <c r="AK10" s="85"/>
      <c r="AN10" s="85"/>
      <c r="AR10" s="85"/>
      <c r="AS10" s="85"/>
      <c r="AT10" s="85"/>
      <c r="AU10" s="85"/>
      <c r="AW10" s="85"/>
    </row>
    <row r="11" spans="1:57" x14ac:dyDescent="0.25">
      <c r="A11" s="3" t="s">
        <v>266</v>
      </c>
      <c r="B11" s="7"/>
      <c r="C11" s="7"/>
      <c r="D11" s="7">
        <f t="shared" si="0"/>
        <v>0</v>
      </c>
      <c r="E11" s="6"/>
      <c r="M11" s="7"/>
      <c r="N11" s="103"/>
      <c r="O11" s="7"/>
      <c r="P11" s="104"/>
      <c r="Q11" s="7"/>
      <c r="R11" s="85"/>
      <c r="S11" s="85"/>
      <c r="T11" s="129">
        <v>31531</v>
      </c>
      <c r="U11" s="129">
        <f>13121+5000</f>
        <v>18121</v>
      </c>
      <c r="V11" s="129">
        <f t="shared" ref="V11:V13" si="3">+T11+U11</f>
        <v>49652</v>
      </c>
      <c r="W11" s="129">
        <v>48211</v>
      </c>
      <c r="X11" s="130">
        <f t="shared" si="2"/>
        <v>-1441</v>
      </c>
      <c r="Y11" s="131">
        <v>46415</v>
      </c>
      <c r="Z11" s="131">
        <v>4400</v>
      </c>
      <c r="AA11" s="131">
        <f t="shared" ref="AA11:AA13" si="4">+Y11+Z11</f>
        <v>50815</v>
      </c>
      <c r="AB11" s="111"/>
      <c r="AC11" s="111"/>
      <c r="AD11" s="111"/>
      <c r="AE11" s="111"/>
      <c r="AF11" s="111"/>
      <c r="AJ11" s="90"/>
      <c r="AK11" s="85"/>
      <c r="AN11" s="85"/>
      <c r="AR11" s="85"/>
      <c r="AS11" s="85"/>
      <c r="AT11" s="85"/>
      <c r="AU11" s="85"/>
      <c r="AW11" s="85"/>
    </row>
    <row r="12" spans="1:57" ht="15.75" thickBot="1" x14ac:dyDescent="0.3">
      <c r="A12" s="3" t="s">
        <v>121</v>
      </c>
      <c r="B12" s="7">
        <f>250</f>
        <v>250</v>
      </c>
      <c r="C12" s="2"/>
      <c r="D12" s="7">
        <f t="shared" si="0"/>
        <v>250</v>
      </c>
      <c r="E12" s="6" t="str">
        <f t="shared" si="1"/>
        <v/>
      </c>
      <c r="M12" s="7"/>
      <c r="N12" s="103">
        <v>40000</v>
      </c>
      <c r="O12" s="7">
        <v>0</v>
      </c>
      <c r="P12" s="104">
        <f>+N12+O12</f>
        <v>40000</v>
      </c>
      <c r="Q12" s="7">
        <f t="shared" ref="Q12:Q14" si="5">+M12+P12</f>
        <v>40000</v>
      </c>
      <c r="R12" s="85"/>
      <c r="S12" s="85"/>
      <c r="T12" s="113">
        <f>+B12</f>
        <v>250</v>
      </c>
      <c r="U12" s="126"/>
      <c r="V12" s="114">
        <f t="shared" si="3"/>
        <v>250</v>
      </c>
      <c r="W12" s="114"/>
      <c r="X12" s="118">
        <f t="shared" si="2"/>
        <v>-250</v>
      </c>
      <c r="Y12" s="111">
        <f>+M12+O12</f>
        <v>0</v>
      </c>
      <c r="Z12" s="111"/>
      <c r="AA12" s="111">
        <f t="shared" si="4"/>
        <v>0</v>
      </c>
      <c r="AB12" s="111"/>
      <c r="AC12" s="111"/>
      <c r="AD12" s="111"/>
      <c r="AE12" s="111"/>
      <c r="AF12" s="111"/>
      <c r="AM12" t="s">
        <v>248</v>
      </c>
      <c r="AN12" s="85">
        <f>5000-2000</f>
        <v>3000</v>
      </c>
      <c r="AR12">
        <f>+AR9*0.03</f>
        <v>1.5914999999999999</v>
      </c>
      <c r="AS12" s="85"/>
      <c r="AT12" s="85"/>
      <c r="AU12" s="85">
        <f>SUM(AU7:AU9)</f>
        <v>74240.399999999994</v>
      </c>
      <c r="AW12" s="85">
        <f>SUM(AW7:AW9)</f>
        <v>141354</v>
      </c>
      <c r="AZ12">
        <f>+AZ7+AZ8</f>
        <v>18658.800000000003</v>
      </c>
      <c r="BC12" s="97"/>
      <c r="BD12" s="97">
        <v>-75</v>
      </c>
    </row>
    <row r="13" spans="1:57" ht="15.75" thickBot="1" x14ac:dyDescent="0.3">
      <c r="A13" s="3" t="s">
        <v>120</v>
      </c>
      <c r="B13" s="7">
        <f>150515.18</f>
        <v>150515.18</v>
      </c>
      <c r="C13" s="7">
        <f>150000</f>
        <v>150000</v>
      </c>
      <c r="D13" s="7">
        <f>(B13)-(C13)</f>
        <v>515.17999999999302</v>
      </c>
      <c r="E13" s="6">
        <f t="shared" si="1"/>
        <v>1.0034345333333332</v>
      </c>
      <c r="M13" s="99">
        <v>45927</v>
      </c>
      <c r="N13" s="103">
        <v>4400</v>
      </c>
      <c r="O13" s="7"/>
      <c r="P13" s="104">
        <f>+N13+O13</f>
        <v>4400</v>
      </c>
      <c r="Q13" s="98">
        <f>49826.6+500</f>
        <v>50326.6</v>
      </c>
      <c r="R13" s="85">
        <v>-49826.599999999977</v>
      </c>
      <c r="S13" s="85"/>
      <c r="T13" s="114">
        <v>150515</v>
      </c>
      <c r="U13" s="114">
        <v>0</v>
      </c>
      <c r="V13" s="114">
        <f t="shared" si="3"/>
        <v>150515</v>
      </c>
      <c r="W13" s="114">
        <v>150000</v>
      </c>
      <c r="X13" s="118">
        <f>+W13-V13</f>
        <v>-515</v>
      </c>
      <c r="Y13" s="111">
        <v>155000</v>
      </c>
      <c r="Z13" s="111"/>
      <c r="AA13" s="111">
        <f t="shared" si="4"/>
        <v>155000</v>
      </c>
      <c r="AB13" s="137"/>
      <c r="AC13" s="111"/>
      <c r="AD13" s="111"/>
      <c r="AE13" s="111"/>
      <c r="AF13" s="111"/>
      <c r="AN13" s="85"/>
      <c r="AS13" s="85"/>
      <c r="AT13" s="85"/>
      <c r="AU13" s="85"/>
      <c r="AW13" s="85"/>
    </row>
    <row r="14" spans="1:57" x14ac:dyDescent="0.25">
      <c r="A14" s="3" t="s">
        <v>119</v>
      </c>
      <c r="B14" s="5">
        <f>(B12)+(B13)</f>
        <v>150765.18</v>
      </c>
      <c r="C14" s="5">
        <f>(C12)+(C13)</f>
        <v>150000</v>
      </c>
      <c r="D14" s="5">
        <f>(D12)+(D13)</f>
        <v>765.17999999999302</v>
      </c>
      <c r="E14" s="4">
        <f t="shared" si="1"/>
        <v>1.0051011999999999</v>
      </c>
      <c r="M14" s="7">
        <v>155000</v>
      </c>
      <c r="N14" s="103"/>
      <c r="O14" s="7"/>
      <c r="P14" s="104"/>
      <c r="Q14" s="7">
        <f t="shared" si="5"/>
        <v>155000</v>
      </c>
      <c r="R14" s="85"/>
      <c r="S14" s="85"/>
      <c r="T14" s="112">
        <f t="shared" ref="T14:AA14" si="6">(T12)+(T13)</f>
        <v>150765</v>
      </c>
      <c r="U14" s="112">
        <f t="shared" si="6"/>
        <v>0</v>
      </c>
      <c r="V14" s="112">
        <f t="shared" si="6"/>
        <v>150765</v>
      </c>
      <c r="W14" s="112">
        <f t="shared" si="6"/>
        <v>150000</v>
      </c>
      <c r="X14" s="125">
        <f t="shared" si="6"/>
        <v>-765</v>
      </c>
      <c r="Y14" s="122">
        <f t="shared" si="6"/>
        <v>155000</v>
      </c>
      <c r="Z14" s="122">
        <f t="shared" si="6"/>
        <v>0</v>
      </c>
      <c r="AA14" s="122">
        <f t="shared" si="6"/>
        <v>155000</v>
      </c>
      <c r="AB14" s="111"/>
      <c r="AC14" s="111"/>
      <c r="AD14" s="111"/>
      <c r="AE14" s="111"/>
      <c r="AF14" s="111"/>
      <c r="AM14" t="s">
        <v>221</v>
      </c>
      <c r="AN14" s="85">
        <f>+AS14-1500</f>
        <v>3500</v>
      </c>
      <c r="AQ14" t="s">
        <v>222</v>
      </c>
      <c r="AR14" s="85">
        <v>100</v>
      </c>
      <c r="AS14" s="85">
        <v>5000</v>
      </c>
      <c r="AW14" s="91" t="e">
        <f>+#REF!-AW12</f>
        <v>#REF!</v>
      </c>
      <c r="AZ14" t="e">
        <f>+AZ12+#REF!</f>
        <v>#REF!</v>
      </c>
      <c r="BE14">
        <v>96</v>
      </c>
    </row>
    <row r="15" spans="1:57" x14ac:dyDescent="0.25">
      <c r="B15" s="5">
        <f>((B8)+(B9))+(B14)+B11</f>
        <v>181901.27</v>
      </c>
      <c r="C15" s="5">
        <f>((C8)+(C9))+(C14)+C11</f>
        <v>183000</v>
      </c>
      <c r="D15" s="5">
        <f>((D8)+(D9))+(D14)+D11</f>
        <v>-1098.7300000000068</v>
      </c>
      <c r="E15" s="4">
        <f t="shared" si="1"/>
        <v>0.99399601092896173</v>
      </c>
      <c r="M15" s="5" t="e">
        <f>(#REF!)+(M14)</f>
        <v>#REF!</v>
      </c>
      <c r="N15" s="105" t="e">
        <f>(#REF!)+(N14)</f>
        <v>#REF!</v>
      </c>
      <c r="O15" s="5" t="e">
        <f>(#REF!)+(O14)</f>
        <v>#REF!</v>
      </c>
      <c r="P15" s="106" t="e">
        <f>(#REF!)+(P14)</f>
        <v>#REF!</v>
      </c>
      <c r="Q15" s="5" t="e">
        <f>(#REF!)+(Q14)</f>
        <v>#REF!</v>
      </c>
      <c r="R15" s="85"/>
      <c r="S15" s="85"/>
      <c r="T15" s="123">
        <f>((T8)+(T9))+(T14)+T11</f>
        <v>213432.09</v>
      </c>
      <c r="U15" s="123">
        <f>((U8)+(U9))+(U14)+U11</f>
        <v>20064.333333333332</v>
      </c>
      <c r="V15" s="123">
        <f>((V8)+(V9))+(V14)+V11</f>
        <v>233496.42333333334</v>
      </c>
      <c r="W15" s="123">
        <f>((W8)+(W9))+(W14)+W11</f>
        <v>233211</v>
      </c>
      <c r="X15" s="124">
        <f>((X8)+(X9))+(X14)+X11</f>
        <v>-285.42333333333227</v>
      </c>
      <c r="Y15" s="112">
        <f>+Y9+Y11+Y14+Y10</f>
        <v>233415</v>
      </c>
      <c r="Z15" s="112">
        <f>+Z9+Z11+Z14+Z10</f>
        <v>44400</v>
      </c>
      <c r="AA15" s="112">
        <f>+AA9+AA11+AA14+AA10</f>
        <v>277815</v>
      </c>
      <c r="AB15" s="115"/>
      <c r="AC15" s="115"/>
      <c r="AD15" s="115"/>
      <c r="AE15" s="115"/>
      <c r="AF15" s="115"/>
      <c r="AM15" t="s">
        <v>225</v>
      </c>
      <c r="AN15" s="85">
        <f>+(10*1800)</f>
        <v>18000</v>
      </c>
      <c r="BE15">
        <f>+BE9+BE14</f>
        <v>120</v>
      </c>
    </row>
    <row r="16" spans="1:57" x14ac:dyDescent="0.25">
      <c r="A16" s="3" t="s">
        <v>118</v>
      </c>
      <c r="B16" s="7">
        <f>43.11</f>
        <v>43.11</v>
      </c>
      <c r="C16" s="2"/>
      <c r="D16" s="7">
        <f>(B16)-(C16)</f>
        <v>43.11</v>
      </c>
      <c r="E16" s="6" t="str">
        <f t="shared" si="1"/>
        <v/>
      </c>
      <c r="M16" s="5" t="e">
        <f>((M8)+(M9))+(M15)+M12+M13</f>
        <v>#REF!</v>
      </c>
      <c r="N16" s="105" t="e">
        <f>((N8)+(N9))+(N15)+N12+N13</f>
        <v>#REF!</v>
      </c>
      <c r="O16" s="5" t="e">
        <f>((O8)+(O9))+(O15)+O12+O13</f>
        <v>#REF!</v>
      </c>
      <c r="P16" s="106" t="e">
        <f>((P8)+(P9))+(P15)+P12+P13</f>
        <v>#REF!</v>
      </c>
      <c r="Q16" s="5" t="e">
        <f>((Q8)+(Q9))+(Q15)+Q12+Q13</f>
        <v>#REF!</v>
      </c>
      <c r="R16" s="85"/>
      <c r="S16" s="85"/>
      <c r="T16" s="114">
        <f>43.11</f>
        <v>43.11</v>
      </c>
      <c r="U16" s="113"/>
      <c r="V16" s="114">
        <f>(T16)-(U16)</f>
        <v>43.11</v>
      </c>
      <c r="W16" s="123"/>
      <c r="X16" s="127">
        <f t="shared" ref="X16" si="7">+W16-V16</f>
        <v>-43.11</v>
      </c>
      <c r="Y16" s="123"/>
      <c r="Z16" s="123"/>
      <c r="AA16" s="123"/>
      <c r="AB16" s="115"/>
      <c r="AC16" s="115"/>
      <c r="AD16" s="115"/>
      <c r="AE16" s="115"/>
      <c r="AF16" s="115"/>
      <c r="AM16" t="s">
        <v>229</v>
      </c>
      <c r="AN16" s="85">
        <f>+AT19</f>
        <v>1800</v>
      </c>
      <c r="AQ16" t="s">
        <v>224</v>
      </c>
      <c r="AR16" s="85">
        <v>1800</v>
      </c>
      <c r="AS16" s="85">
        <v>10</v>
      </c>
      <c r="AT16" s="85">
        <f>+AR16*AS16</f>
        <v>18000</v>
      </c>
    </row>
    <row r="17" spans="1:46" x14ac:dyDescent="0.25">
      <c r="A17" s="3" t="s">
        <v>117</v>
      </c>
      <c r="B17" s="5">
        <f>(B15)+(B16)</f>
        <v>181944.37999999998</v>
      </c>
      <c r="C17" s="5">
        <f>(C15)+(C16)</f>
        <v>183000</v>
      </c>
      <c r="D17" s="5">
        <f>(B17)-(C17)</f>
        <v>-1055.6200000000244</v>
      </c>
      <c r="E17" s="4">
        <f t="shared" si="1"/>
        <v>0.99423158469945339</v>
      </c>
      <c r="M17" s="2"/>
      <c r="N17" s="103"/>
      <c r="O17" s="7"/>
      <c r="P17" s="104"/>
      <c r="Q17" s="2"/>
      <c r="R17" s="85"/>
      <c r="S17" s="85"/>
      <c r="T17" s="112">
        <f>(T15)+(T16)</f>
        <v>213475.19999999998</v>
      </c>
      <c r="U17" s="112">
        <f t="shared" ref="U17:AA17" si="8">(U15)+(U16)</f>
        <v>20064.333333333332</v>
      </c>
      <c r="V17" s="112">
        <f t="shared" si="8"/>
        <v>233539.53333333333</v>
      </c>
      <c r="W17" s="112">
        <f t="shared" si="8"/>
        <v>233211</v>
      </c>
      <c r="X17" s="119">
        <f t="shared" si="8"/>
        <v>-328.53333333333228</v>
      </c>
      <c r="Y17" s="122">
        <f t="shared" si="8"/>
        <v>233415</v>
      </c>
      <c r="Z17" s="122">
        <f t="shared" si="8"/>
        <v>44400</v>
      </c>
      <c r="AA17" s="122">
        <f t="shared" si="8"/>
        <v>277815</v>
      </c>
      <c r="AB17" s="113"/>
      <c r="AC17" s="113"/>
      <c r="AD17" s="113"/>
      <c r="AE17" s="113"/>
      <c r="AF17" s="113"/>
      <c r="AM17" t="s">
        <v>232</v>
      </c>
      <c r="AN17" s="85">
        <v>500</v>
      </c>
      <c r="AR17" t="s">
        <v>223</v>
      </c>
    </row>
    <row r="18" spans="1:46" x14ac:dyDescent="0.25">
      <c r="A18" s="3" t="s">
        <v>116</v>
      </c>
      <c r="B18" s="5">
        <f>(B17)-(0)</f>
        <v>181944.37999999998</v>
      </c>
      <c r="C18" s="5">
        <f>(C17)-(0)</f>
        <v>183000</v>
      </c>
      <c r="D18" s="5">
        <f>(B18)-(C18)</f>
        <v>-1055.6200000000244</v>
      </c>
      <c r="E18" s="4">
        <f t="shared" si="1"/>
        <v>0.99423158469945339</v>
      </c>
      <c r="M18" s="5" t="e">
        <f>(M16)+(M17)</f>
        <v>#REF!</v>
      </c>
      <c r="N18" s="105" t="e">
        <f>(N16)+(N17)</f>
        <v>#REF!</v>
      </c>
      <c r="O18" s="5" t="e">
        <f>(O16)+(O17)</f>
        <v>#REF!</v>
      </c>
      <c r="P18" s="106" t="e">
        <f>(P16)+(P17)</f>
        <v>#REF!</v>
      </c>
      <c r="Q18" s="5" t="e">
        <f>(Q16)+(Q17)</f>
        <v>#REF!</v>
      </c>
      <c r="R18" s="85"/>
      <c r="S18" s="85"/>
      <c r="T18" s="112">
        <f>(T17)-(0)</f>
        <v>213475.19999999998</v>
      </c>
      <c r="U18" s="112">
        <f t="shared" ref="U18:AA18" si="9">(U17)-(0)</f>
        <v>20064.333333333332</v>
      </c>
      <c r="V18" s="112">
        <f t="shared" si="9"/>
        <v>233539.53333333333</v>
      </c>
      <c r="W18" s="112">
        <f t="shared" si="9"/>
        <v>233211</v>
      </c>
      <c r="X18" s="119">
        <f t="shared" si="9"/>
        <v>-328.53333333333228</v>
      </c>
      <c r="Y18" s="122">
        <f t="shared" si="9"/>
        <v>233415</v>
      </c>
      <c r="Z18" s="122">
        <f t="shared" si="9"/>
        <v>44400</v>
      </c>
      <c r="AA18" s="122">
        <f t="shared" si="9"/>
        <v>277815</v>
      </c>
      <c r="AB18" s="115"/>
      <c r="AC18" s="115"/>
      <c r="AD18" s="115"/>
      <c r="AE18" s="115"/>
      <c r="AF18" s="115"/>
      <c r="AM18" t="s">
        <v>233</v>
      </c>
      <c r="AN18" s="85">
        <f>+AR36</f>
        <v>6000</v>
      </c>
      <c r="AQ18" t="s">
        <v>226</v>
      </c>
      <c r="AR18">
        <v>2200</v>
      </c>
    </row>
    <row r="19" spans="1:46" x14ac:dyDescent="0.25">
      <c r="A19" s="3" t="s">
        <v>115</v>
      </c>
      <c r="B19" s="2"/>
      <c r="C19" s="2"/>
      <c r="D19" s="2"/>
      <c r="E19" s="2"/>
      <c r="H19" s="79">
        <f>+B20</f>
        <v>2290.87</v>
      </c>
      <c r="I19" s="79">
        <f>+C20</f>
        <v>2291.63</v>
      </c>
      <c r="J19" s="80">
        <f>+H19-I19</f>
        <v>-0.76000000000021828</v>
      </c>
      <c r="M19" s="5" t="e">
        <f>(M18)-(0)</f>
        <v>#REF!</v>
      </c>
      <c r="N19" s="105" t="e">
        <f>(N18)-(0)</f>
        <v>#REF!</v>
      </c>
      <c r="O19" s="5" t="e">
        <f>(O18)-(0)</f>
        <v>#REF!</v>
      </c>
      <c r="P19" s="106" t="e">
        <f>(P18)-(0)</f>
        <v>#REF!</v>
      </c>
      <c r="Q19" s="5" t="e">
        <f>(Q18)-(0)</f>
        <v>#REF!</v>
      </c>
      <c r="R19" s="85"/>
      <c r="S19" s="85"/>
      <c r="T19" s="112"/>
      <c r="U19" s="112"/>
      <c r="V19" s="112"/>
      <c r="W19" s="112"/>
      <c r="X19" s="119"/>
      <c r="Y19" s="112"/>
      <c r="Z19" s="112"/>
      <c r="AA19" s="112"/>
      <c r="AB19" s="115"/>
      <c r="AC19" s="115"/>
      <c r="AD19" s="115"/>
      <c r="AE19" s="115"/>
      <c r="AF19" s="115"/>
      <c r="AM19" t="s">
        <v>234</v>
      </c>
      <c r="AN19" s="85">
        <f>+AU40+AU42+AU44+220</f>
        <v>500.79999999999995</v>
      </c>
      <c r="AQ19" t="s">
        <v>227</v>
      </c>
      <c r="AR19" t="s">
        <v>228</v>
      </c>
      <c r="AS19" t="s">
        <v>230</v>
      </c>
      <c r="AT19" s="85">
        <v>1800</v>
      </c>
    </row>
    <row r="20" spans="1:46" x14ac:dyDescent="0.25">
      <c r="A20" s="3" t="s">
        <v>260</v>
      </c>
      <c r="B20" s="7">
        <f>2290.87</f>
        <v>2290.87</v>
      </c>
      <c r="C20" s="7">
        <f>2291.63</f>
        <v>2291.63</v>
      </c>
      <c r="D20" s="7">
        <f t="shared" ref="D20:D25" si="10">(B20)-(C20)</f>
        <v>-0.76000000000021828</v>
      </c>
      <c r="E20" s="6">
        <f t="shared" ref="E20:E25" si="11">IF(C20=0,"",(B20)/(C20))</f>
        <v>0.99966835833009682</v>
      </c>
      <c r="M20" s="2"/>
      <c r="N20" s="103"/>
      <c r="O20" s="7"/>
      <c r="P20" s="104"/>
      <c r="Q20" s="2"/>
      <c r="R20" s="85"/>
      <c r="S20" s="85"/>
      <c r="T20" s="114">
        <f>+B20</f>
        <v>2290.87</v>
      </c>
      <c r="U20" s="114">
        <f>(750/3)-98+1500</f>
        <v>1652</v>
      </c>
      <c r="V20" s="114">
        <f t="shared" ref="V20" si="12">+T20+U20</f>
        <v>3942.87</v>
      </c>
      <c r="W20" s="114">
        <v>2500</v>
      </c>
      <c r="X20" s="118">
        <f>+W20-V20</f>
        <v>-1442.87</v>
      </c>
      <c r="Y20" s="114"/>
      <c r="Z20" s="114"/>
      <c r="AA20" s="111">
        <f t="shared" ref="AA20:AA39" si="13">+Y20+Z20</f>
        <v>0</v>
      </c>
      <c r="AB20" s="113"/>
      <c r="AC20" s="113"/>
      <c r="AD20" s="113"/>
      <c r="AE20" s="113"/>
      <c r="AF20" s="113"/>
      <c r="AM20" t="s">
        <v>152</v>
      </c>
      <c r="AN20" s="85">
        <v>250</v>
      </c>
    </row>
    <row r="21" spans="1:46" x14ac:dyDescent="0.25">
      <c r="A21" s="3" t="s">
        <v>267</v>
      </c>
      <c r="B21" s="7"/>
      <c r="C21" s="7"/>
      <c r="D21" s="7"/>
      <c r="E21" s="6"/>
      <c r="M21" s="2"/>
      <c r="N21" s="103"/>
      <c r="O21" s="7"/>
      <c r="P21" s="104"/>
      <c r="Q21" s="2"/>
      <c r="R21" s="85"/>
      <c r="S21" s="85"/>
      <c r="T21" s="114"/>
      <c r="U21" s="114"/>
      <c r="V21" s="114"/>
      <c r="W21" s="114"/>
      <c r="X21" s="118"/>
      <c r="Y21" s="114">
        <v>3000</v>
      </c>
      <c r="Z21" s="114"/>
      <c r="AA21" s="111">
        <f t="shared" si="13"/>
        <v>3000</v>
      </c>
      <c r="AB21" s="113"/>
      <c r="AC21" s="113"/>
      <c r="AD21" s="113"/>
      <c r="AE21" s="113"/>
      <c r="AF21" s="113"/>
      <c r="AN21" s="85"/>
    </row>
    <row r="22" spans="1:46" x14ac:dyDescent="0.25">
      <c r="A22" s="3" t="s">
        <v>268</v>
      </c>
      <c r="B22" s="7"/>
      <c r="C22" s="7"/>
      <c r="D22" s="7"/>
      <c r="E22" s="6"/>
      <c r="M22" s="2"/>
      <c r="N22" s="103"/>
      <c r="O22" s="7"/>
      <c r="P22" s="104"/>
      <c r="Q22" s="2"/>
      <c r="R22" s="85"/>
      <c r="S22" s="85"/>
      <c r="T22" s="114"/>
      <c r="U22" s="114"/>
      <c r="V22" s="114"/>
      <c r="W22" s="114"/>
      <c r="X22" s="118"/>
      <c r="Y22" s="114"/>
      <c r="Z22" s="114">
        <v>18000</v>
      </c>
      <c r="AA22" s="111">
        <f t="shared" si="13"/>
        <v>18000</v>
      </c>
      <c r="AB22" s="113"/>
      <c r="AC22" s="113"/>
      <c r="AD22" s="113"/>
      <c r="AE22" s="113"/>
      <c r="AF22" s="113"/>
      <c r="AN22" s="85"/>
    </row>
    <row r="23" spans="1:46" x14ac:dyDescent="0.25">
      <c r="A23" s="3" t="s">
        <v>114</v>
      </c>
      <c r="B23" s="7">
        <f>305.56</f>
        <v>305.56</v>
      </c>
      <c r="C23" s="7">
        <f>91.63</f>
        <v>91.63</v>
      </c>
      <c r="D23" s="7">
        <f t="shared" si="10"/>
        <v>213.93</v>
      </c>
      <c r="E23" s="6">
        <f t="shared" si="11"/>
        <v>3.334715704463604</v>
      </c>
      <c r="M23" s="7"/>
      <c r="N23" s="103"/>
      <c r="O23" s="7"/>
      <c r="P23" s="104">
        <f t="shared" ref="P23:P42" si="14">+N23+O23</f>
        <v>0</v>
      </c>
      <c r="Q23" s="7">
        <f t="shared" ref="Q23:Q42" si="15">+M23+P23</f>
        <v>0</v>
      </c>
      <c r="R23" s="85"/>
      <c r="S23" s="85"/>
      <c r="T23" s="114">
        <f>+B23</f>
        <v>305.56</v>
      </c>
      <c r="U23" s="114">
        <v>8.3333333333333339</v>
      </c>
      <c r="V23" s="114">
        <f t="shared" ref="V23:V39" si="16">+T23+U23</f>
        <v>313.89333333333332</v>
      </c>
      <c r="W23" s="114">
        <v>100</v>
      </c>
      <c r="X23" s="118">
        <f t="shared" ref="X23:X25" si="17">+W23-V23</f>
        <v>-213.89333333333332</v>
      </c>
      <c r="Y23" s="111">
        <f t="shared" ref="Y23:Z38" si="18">+M26+O26</f>
        <v>50</v>
      </c>
      <c r="Z23" s="111">
        <f t="shared" si="18"/>
        <v>0</v>
      </c>
      <c r="AA23" s="111">
        <f t="shared" si="13"/>
        <v>50</v>
      </c>
      <c r="AB23" s="114"/>
      <c r="AC23" s="114"/>
      <c r="AD23" s="114"/>
      <c r="AE23" s="114"/>
      <c r="AF23" s="114"/>
      <c r="AM23" t="s">
        <v>235</v>
      </c>
      <c r="AN23" s="93">
        <f>5000-2000</f>
        <v>3000</v>
      </c>
      <c r="AQ23" t="s">
        <v>235</v>
      </c>
      <c r="AR23" s="85">
        <v>7500</v>
      </c>
    </row>
    <row r="24" spans="1:46" x14ac:dyDescent="0.25">
      <c r="A24" s="3" t="s">
        <v>113</v>
      </c>
      <c r="B24" s="7">
        <f>1500</f>
        <v>1500</v>
      </c>
      <c r="C24" s="7">
        <f>1100</f>
        <v>1100</v>
      </c>
      <c r="D24" s="7">
        <f t="shared" si="10"/>
        <v>400</v>
      </c>
      <c r="E24" s="6">
        <f t="shared" si="11"/>
        <v>1.3636363636363635</v>
      </c>
      <c r="M24" s="7"/>
      <c r="N24" s="103"/>
      <c r="O24" s="7"/>
      <c r="P24" s="104"/>
      <c r="Q24" s="7"/>
      <c r="R24" s="85"/>
      <c r="S24" s="85"/>
      <c r="T24" s="114">
        <f>+B24</f>
        <v>1500</v>
      </c>
      <c r="U24" s="114">
        <v>100</v>
      </c>
      <c r="V24" s="114">
        <f t="shared" si="16"/>
        <v>1600</v>
      </c>
      <c r="W24" s="114">
        <v>1200</v>
      </c>
      <c r="X24" s="118">
        <f t="shared" si="17"/>
        <v>-400</v>
      </c>
      <c r="Y24" s="111">
        <f t="shared" si="18"/>
        <v>1200</v>
      </c>
      <c r="Z24" s="111">
        <f t="shared" si="18"/>
        <v>0</v>
      </c>
      <c r="AA24" s="111">
        <f t="shared" si="13"/>
        <v>1200</v>
      </c>
      <c r="AB24" s="114"/>
      <c r="AC24" s="114"/>
      <c r="AD24" s="114"/>
      <c r="AE24" s="114"/>
      <c r="AF24" s="114"/>
      <c r="AN24" s="91"/>
      <c r="AR24" s="85"/>
    </row>
    <row r="25" spans="1:46" x14ac:dyDescent="0.25">
      <c r="A25" s="3" t="s">
        <v>112</v>
      </c>
      <c r="B25" s="2"/>
      <c r="C25" s="7">
        <f>1375</f>
        <v>1375</v>
      </c>
      <c r="D25" s="7">
        <f t="shared" si="10"/>
        <v>-1375</v>
      </c>
      <c r="E25" s="6">
        <f t="shared" si="11"/>
        <v>0</v>
      </c>
      <c r="M25" s="7"/>
      <c r="N25" s="103"/>
      <c r="O25" s="7"/>
      <c r="P25" s="104"/>
      <c r="Q25" s="7"/>
      <c r="R25" s="85"/>
      <c r="S25" s="85"/>
      <c r="T25" s="114"/>
      <c r="U25" s="114"/>
      <c r="V25" s="114">
        <f t="shared" si="16"/>
        <v>0</v>
      </c>
      <c r="W25" s="114">
        <v>1500</v>
      </c>
      <c r="X25" s="118">
        <f t="shared" si="17"/>
        <v>1500</v>
      </c>
      <c r="Y25" s="111">
        <f t="shared" si="18"/>
        <v>1000</v>
      </c>
      <c r="Z25" s="111">
        <f t="shared" si="18"/>
        <v>0</v>
      </c>
      <c r="AA25" s="111">
        <f t="shared" si="13"/>
        <v>1000</v>
      </c>
      <c r="AB25" s="114"/>
      <c r="AC25" s="114"/>
      <c r="AD25" s="114"/>
      <c r="AE25" s="114"/>
      <c r="AF25" s="114"/>
      <c r="AN25" s="91"/>
      <c r="AR25" s="85"/>
    </row>
    <row r="26" spans="1:46" x14ac:dyDescent="0.25">
      <c r="A26" s="3" t="s">
        <v>269</v>
      </c>
      <c r="B26" s="7"/>
      <c r="C26" s="7"/>
      <c r="D26" s="7"/>
      <c r="E26" s="6"/>
      <c r="M26" s="7">
        <v>50</v>
      </c>
      <c r="N26" s="103"/>
      <c r="O26" s="7"/>
      <c r="P26" s="104">
        <f t="shared" si="14"/>
        <v>0</v>
      </c>
      <c r="Q26" s="7">
        <f t="shared" si="15"/>
        <v>50</v>
      </c>
      <c r="R26" s="85"/>
      <c r="S26" s="85"/>
      <c r="T26" s="114"/>
      <c r="U26" s="114"/>
      <c r="V26" s="114">
        <f t="shared" si="16"/>
        <v>0</v>
      </c>
      <c r="W26" s="114"/>
      <c r="X26" s="118"/>
      <c r="Y26" s="111">
        <f t="shared" si="18"/>
        <v>500</v>
      </c>
      <c r="Z26" s="111"/>
      <c r="AA26" s="111">
        <f t="shared" si="13"/>
        <v>500</v>
      </c>
      <c r="AB26" s="111"/>
      <c r="AC26" s="111"/>
      <c r="AD26" s="111"/>
      <c r="AE26" s="111"/>
      <c r="AF26" s="111"/>
      <c r="AN26" s="95"/>
    </row>
    <row r="27" spans="1:46" x14ac:dyDescent="0.25">
      <c r="A27" s="3" t="s">
        <v>111</v>
      </c>
      <c r="B27" s="7">
        <f>799.67</f>
        <v>799.67</v>
      </c>
      <c r="C27" s="7">
        <f>1061</f>
        <v>1061</v>
      </c>
      <c r="D27" s="7">
        <f t="shared" ref="D27:D62" si="19">(B27)-(C27)</f>
        <v>-261.33000000000004</v>
      </c>
      <c r="E27" s="6">
        <f t="shared" ref="E27:E64" si="20">IF(C27=0,"",(B27)/(C27))</f>
        <v>0.75369462770970774</v>
      </c>
      <c r="M27" s="7">
        <v>1200</v>
      </c>
      <c r="N27" s="103"/>
      <c r="O27" s="7"/>
      <c r="P27" s="104">
        <f t="shared" si="14"/>
        <v>0</v>
      </c>
      <c r="Q27" s="7">
        <f t="shared" si="15"/>
        <v>1200</v>
      </c>
      <c r="R27" s="85"/>
      <c r="S27" s="85"/>
      <c r="T27" s="114">
        <f>+B27</f>
        <v>799.67</v>
      </c>
      <c r="U27" s="114">
        <v>183.33333333333334</v>
      </c>
      <c r="V27" s="114">
        <f t="shared" si="16"/>
        <v>983.00333333333333</v>
      </c>
      <c r="W27" s="114">
        <v>1061</v>
      </c>
      <c r="X27" s="118">
        <f t="shared" ref="X27:X30" si="21">+W27-V27</f>
        <v>77.99666666666667</v>
      </c>
      <c r="Y27" s="111">
        <f t="shared" si="18"/>
        <v>0</v>
      </c>
      <c r="Z27" s="111">
        <f>+N30+P30</f>
        <v>0</v>
      </c>
      <c r="AA27" s="111">
        <f t="shared" si="13"/>
        <v>0</v>
      </c>
      <c r="AB27" s="111"/>
      <c r="AC27" s="111"/>
      <c r="AD27" s="111"/>
      <c r="AE27" s="111"/>
      <c r="AF27" s="111"/>
      <c r="AQ27" t="s">
        <v>212</v>
      </c>
      <c r="AR27" s="85">
        <v>7500</v>
      </c>
    </row>
    <row r="28" spans="1:46" ht="15.75" thickBot="1" x14ac:dyDescent="0.3">
      <c r="A28" s="3" t="s">
        <v>110</v>
      </c>
      <c r="B28" s="7">
        <f>331.62</f>
        <v>331.62</v>
      </c>
      <c r="C28" s="7">
        <f>916.63</f>
        <v>916.63</v>
      </c>
      <c r="D28" s="7">
        <f t="shared" si="19"/>
        <v>-585.01</v>
      </c>
      <c r="E28" s="6">
        <f t="shared" si="20"/>
        <v>0.36178174399703261</v>
      </c>
      <c r="M28" s="7">
        <f>1000</f>
        <v>1000</v>
      </c>
      <c r="N28" s="103"/>
      <c r="O28" s="7"/>
      <c r="P28" s="104">
        <f t="shared" si="14"/>
        <v>0</v>
      </c>
      <c r="Q28" s="7">
        <f t="shared" si="15"/>
        <v>1000</v>
      </c>
      <c r="R28" s="85"/>
      <c r="S28" s="85"/>
      <c r="T28" s="114">
        <f>+B28</f>
        <v>331.62</v>
      </c>
      <c r="U28" s="114">
        <v>83.333333333333329</v>
      </c>
      <c r="V28" s="114">
        <f t="shared" si="16"/>
        <v>414.95333333333332</v>
      </c>
      <c r="W28" s="114">
        <v>1000</v>
      </c>
      <c r="X28" s="118">
        <f t="shared" si="21"/>
        <v>585.04666666666662</v>
      </c>
      <c r="Y28" s="111">
        <f t="shared" si="18"/>
        <v>6500</v>
      </c>
      <c r="Z28" s="111"/>
      <c r="AA28" s="111">
        <f t="shared" si="13"/>
        <v>6500</v>
      </c>
      <c r="AB28" s="111"/>
      <c r="AC28" s="111"/>
      <c r="AD28" s="111"/>
      <c r="AE28" s="111"/>
      <c r="AF28" s="111"/>
      <c r="AN28" s="96">
        <f>SUM(AN8:AN27)</f>
        <v>118215.23999999999</v>
      </c>
      <c r="AO28" s="91">
        <f>+AN28/AO7</f>
        <v>0.98512699999999997</v>
      </c>
      <c r="AQ28" t="s">
        <v>236</v>
      </c>
    </row>
    <row r="29" spans="1:46" ht="15.75" thickTop="1" x14ac:dyDescent="0.25">
      <c r="A29" s="3" t="s">
        <v>109</v>
      </c>
      <c r="B29" s="7">
        <f>33000</f>
        <v>33000</v>
      </c>
      <c r="C29" s="7">
        <f>29500</f>
        <v>29500</v>
      </c>
      <c r="D29" s="7">
        <f t="shared" si="19"/>
        <v>3500</v>
      </c>
      <c r="E29" s="6">
        <f t="shared" si="20"/>
        <v>1.1186440677966101</v>
      </c>
      <c r="M29" s="7"/>
      <c r="N29" s="103"/>
      <c r="O29" s="7">
        <v>500</v>
      </c>
      <c r="P29" s="104">
        <f t="shared" si="14"/>
        <v>500</v>
      </c>
      <c r="Q29" s="7">
        <f t="shared" si="15"/>
        <v>500</v>
      </c>
      <c r="R29" s="85"/>
      <c r="S29" s="85"/>
      <c r="T29" s="114">
        <f>+B29</f>
        <v>33000</v>
      </c>
      <c r="U29" s="114">
        <v>2691</v>
      </c>
      <c r="V29" s="114">
        <f t="shared" si="16"/>
        <v>35691</v>
      </c>
      <c r="W29" s="114">
        <v>29500</v>
      </c>
      <c r="X29" s="118">
        <f t="shared" si="21"/>
        <v>-6191</v>
      </c>
      <c r="Y29" s="111">
        <f t="shared" si="18"/>
        <v>33000</v>
      </c>
      <c r="Z29" s="111">
        <f>+N32+P32</f>
        <v>0</v>
      </c>
      <c r="AA29" s="111">
        <f t="shared" si="13"/>
        <v>33000</v>
      </c>
      <c r="AB29" s="111"/>
      <c r="AC29" s="111"/>
      <c r="AD29" s="111"/>
      <c r="AE29" s="111"/>
      <c r="AF29" s="111"/>
      <c r="AN29" s="91"/>
      <c r="AO29" s="91"/>
    </row>
    <row r="30" spans="1:46" x14ac:dyDescent="0.25">
      <c r="A30" s="3" t="s">
        <v>108</v>
      </c>
      <c r="B30" s="7">
        <f>1.25</f>
        <v>1.25</v>
      </c>
      <c r="C30" s="7">
        <f>91.63</f>
        <v>91.63</v>
      </c>
      <c r="D30" s="7">
        <f t="shared" si="19"/>
        <v>-90.38</v>
      </c>
      <c r="E30" s="6">
        <f t="shared" si="20"/>
        <v>1.3641820364509441E-2</v>
      </c>
      <c r="M30" s="89">
        <f>(260*4)-1040</f>
        <v>0</v>
      </c>
      <c r="N30" s="103"/>
      <c r="O30" s="7"/>
      <c r="P30" s="104">
        <f t="shared" si="14"/>
        <v>0</v>
      </c>
      <c r="Q30" s="7">
        <f t="shared" si="15"/>
        <v>0</v>
      </c>
      <c r="R30" s="85"/>
      <c r="S30" s="85"/>
      <c r="T30" s="114">
        <f t="shared" ref="T30:T39" si="22">+B30</f>
        <v>1.25</v>
      </c>
      <c r="U30" s="114">
        <v>16.666666666666668</v>
      </c>
      <c r="V30" s="114">
        <f t="shared" si="16"/>
        <v>17.916666666666668</v>
      </c>
      <c r="W30" s="114">
        <v>100</v>
      </c>
      <c r="X30" s="118">
        <f t="shared" si="21"/>
        <v>82.083333333333329</v>
      </c>
      <c r="Y30" s="111">
        <f t="shared" si="18"/>
        <v>50</v>
      </c>
      <c r="Z30" s="111">
        <f>+N33+P33</f>
        <v>0</v>
      </c>
      <c r="AA30" s="111">
        <f t="shared" si="13"/>
        <v>50</v>
      </c>
      <c r="AB30" s="111"/>
      <c r="AC30" s="111"/>
      <c r="AD30" s="111"/>
      <c r="AE30" s="111"/>
      <c r="AF30" s="111"/>
      <c r="AQ30" t="s">
        <v>237</v>
      </c>
    </row>
    <row r="31" spans="1:46" x14ac:dyDescent="0.25">
      <c r="A31" s="3" t="s">
        <v>205</v>
      </c>
      <c r="B31" s="7">
        <f>0</f>
        <v>0</v>
      </c>
      <c r="C31" s="2"/>
      <c r="D31" s="7">
        <f t="shared" si="19"/>
        <v>0</v>
      </c>
      <c r="E31" s="6" t="str">
        <f t="shared" si="20"/>
        <v/>
      </c>
      <c r="M31" s="7">
        <v>500</v>
      </c>
      <c r="N31" s="103"/>
      <c r="O31" s="7">
        <v>6000</v>
      </c>
      <c r="P31" s="104">
        <f t="shared" si="14"/>
        <v>6000</v>
      </c>
      <c r="Q31" s="7">
        <f t="shared" si="15"/>
        <v>6500</v>
      </c>
      <c r="R31" s="85"/>
      <c r="S31" s="85"/>
      <c r="T31" s="114">
        <f t="shared" si="22"/>
        <v>0</v>
      </c>
      <c r="U31" s="113"/>
      <c r="V31" s="114">
        <f t="shared" si="16"/>
        <v>0</v>
      </c>
      <c r="W31" s="113"/>
      <c r="X31" s="120"/>
      <c r="Y31" s="111">
        <f t="shared" si="18"/>
        <v>0</v>
      </c>
      <c r="Z31" s="111">
        <f>+N34+P34</f>
        <v>0</v>
      </c>
      <c r="AA31" s="111">
        <f t="shared" si="13"/>
        <v>0</v>
      </c>
      <c r="AB31" s="111"/>
      <c r="AC31" s="111"/>
      <c r="AD31" s="111"/>
      <c r="AE31" s="111"/>
      <c r="AF31" s="111"/>
    </row>
    <row r="32" spans="1:46" x14ac:dyDescent="0.25">
      <c r="A32" s="3" t="s">
        <v>107</v>
      </c>
      <c r="B32" s="7">
        <f>1100</f>
        <v>1100</v>
      </c>
      <c r="C32" s="7">
        <f>1833.37</f>
        <v>1833.37</v>
      </c>
      <c r="D32" s="7">
        <f t="shared" si="19"/>
        <v>-733.36999999999989</v>
      </c>
      <c r="E32" s="6">
        <f t="shared" si="20"/>
        <v>0.59998800023999521</v>
      </c>
      <c r="M32" s="7">
        <f>(9000*4)-3000</f>
        <v>33000</v>
      </c>
      <c r="N32" s="103"/>
      <c r="O32" s="7"/>
      <c r="P32" s="104">
        <f t="shared" si="14"/>
        <v>0</v>
      </c>
      <c r="Q32" s="7">
        <f t="shared" si="15"/>
        <v>33000</v>
      </c>
      <c r="R32" s="85"/>
      <c r="S32" s="85"/>
      <c r="T32" s="114">
        <f t="shared" si="22"/>
        <v>1100</v>
      </c>
      <c r="U32" s="114">
        <f>(125*3)/3</f>
        <v>125</v>
      </c>
      <c r="V32" s="114">
        <f t="shared" si="16"/>
        <v>1225</v>
      </c>
      <c r="W32" s="114">
        <v>2000</v>
      </c>
      <c r="X32" s="118">
        <f>+W32-V32</f>
        <v>775</v>
      </c>
      <c r="Y32" s="111">
        <f t="shared" si="18"/>
        <v>3500</v>
      </c>
      <c r="Z32" s="111"/>
      <c r="AA32" s="111">
        <f t="shared" si="13"/>
        <v>3500</v>
      </c>
      <c r="AB32" s="111"/>
      <c r="AC32" s="111"/>
      <c r="AD32" s="111"/>
      <c r="AE32" s="111"/>
      <c r="AF32" s="111"/>
      <c r="AI32">
        <v>15500000</v>
      </c>
      <c r="AM32">
        <f>+AI32*0.0021</f>
        <v>32549.999999999996</v>
      </c>
      <c r="AQ32" t="s">
        <v>240</v>
      </c>
    </row>
    <row r="33" spans="1:47" x14ac:dyDescent="0.25">
      <c r="A33" s="3" t="s">
        <v>189</v>
      </c>
      <c r="B33" s="7">
        <f>55.5</f>
        <v>55.5</v>
      </c>
      <c r="C33" s="2"/>
      <c r="D33" s="7">
        <f t="shared" si="19"/>
        <v>55.5</v>
      </c>
      <c r="E33" s="6" t="str">
        <f t="shared" si="20"/>
        <v/>
      </c>
      <c r="M33" s="7">
        <v>50</v>
      </c>
      <c r="N33" s="103"/>
      <c r="O33" s="7"/>
      <c r="P33" s="104">
        <f t="shared" si="14"/>
        <v>0</v>
      </c>
      <c r="Q33" s="7">
        <f t="shared" si="15"/>
        <v>50</v>
      </c>
      <c r="R33" s="85"/>
      <c r="S33" s="85"/>
      <c r="T33" s="114">
        <f t="shared" si="22"/>
        <v>55.5</v>
      </c>
      <c r="U33" s="113">
        <f>(5.555555555555/356*3)</f>
        <v>4.6816479400744383E-2</v>
      </c>
      <c r="V33" s="114">
        <f t="shared" si="16"/>
        <v>55.546816479400746</v>
      </c>
      <c r="W33" s="113">
        <v>0</v>
      </c>
      <c r="X33" s="118">
        <f>+W33-V33</f>
        <v>-55.546816479400746</v>
      </c>
      <c r="Y33" s="111">
        <f t="shared" si="18"/>
        <v>0</v>
      </c>
      <c r="Z33" s="111">
        <f>+N36+P36</f>
        <v>0</v>
      </c>
      <c r="AA33" s="111">
        <f t="shared" si="13"/>
        <v>0</v>
      </c>
      <c r="AB33" s="111"/>
      <c r="AC33" s="111"/>
      <c r="AD33" s="111"/>
      <c r="AE33" s="111"/>
      <c r="AF33" s="111"/>
      <c r="AQ33" t="s">
        <v>221</v>
      </c>
    </row>
    <row r="34" spans="1:47" x14ac:dyDescent="0.25">
      <c r="A34" s="3" t="s">
        <v>106</v>
      </c>
      <c r="B34" s="2"/>
      <c r="C34" s="7">
        <f>458.37</f>
        <v>458.37</v>
      </c>
      <c r="D34" s="7">
        <f t="shared" si="19"/>
        <v>-458.37</v>
      </c>
      <c r="E34" s="6">
        <f t="shared" si="20"/>
        <v>0</v>
      </c>
      <c r="M34" s="2"/>
      <c r="N34" s="103"/>
      <c r="O34" s="7"/>
      <c r="P34" s="104">
        <f t="shared" si="14"/>
        <v>0</v>
      </c>
      <c r="Q34" s="7">
        <f t="shared" si="15"/>
        <v>0</v>
      </c>
      <c r="R34" s="85"/>
      <c r="S34" s="85"/>
      <c r="T34" s="114">
        <f t="shared" si="22"/>
        <v>0</v>
      </c>
      <c r="U34" s="114"/>
      <c r="V34" s="114">
        <f t="shared" si="16"/>
        <v>0</v>
      </c>
      <c r="W34" s="114">
        <v>500</v>
      </c>
      <c r="X34" s="118">
        <f>+W34-V34</f>
        <v>500</v>
      </c>
      <c r="Y34" s="111">
        <f t="shared" si="18"/>
        <v>550</v>
      </c>
      <c r="Z34" s="111"/>
      <c r="AA34" s="111">
        <f t="shared" si="13"/>
        <v>550</v>
      </c>
      <c r="AB34" s="111"/>
      <c r="AC34" s="111"/>
      <c r="AD34" s="111"/>
      <c r="AE34" s="111"/>
      <c r="AF34" s="111"/>
      <c r="AQ34" t="s">
        <v>238</v>
      </c>
      <c r="AR34" s="91">
        <f>7000-1800-1000</f>
        <v>4200</v>
      </c>
    </row>
    <row r="35" spans="1:47" x14ac:dyDescent="0.25">
      <c r="A35" s="3" t="s">
        <v>105</v>
      </c>
      <c r="B35" s="2"/>
      <c r="C35" s="2"/>
      <c r="D35" s="7">
        <f t="shared" si="19"/>
        <v>0</v>
      </c>
      <c r="E35" s="6" t="str">
        <f t="shared" si="20"/>
        <v/>
      </c>
      <c r="H35" s="81">
        <f>SUM(B24:B39)</f>
        <v>159636.54999999999</v>
      </c>
      <c r="I35" s="81">
        <f>SUM(C24:C39)</f>
        <v>160086</v>
      </c>
      <c r="J35" s="78">
        <f>+I35-H35</f>
        <v>449.45000000001164</v>
      </c>
      <c r="K35" s="80">
        <f>+J35+J48+J52+J60+J65</f>
        <v>721.35000000001151</v>
      </c>
      <c r="M35" s="7">
        <v>0</v>
      </c>
      <c r="N35" s="103"/>
      <c r="O35" s="7">
        <v>3500</v>
      </c>
      <c r="P35" s="104">
        <f t="shared" si="14"/>
        <v>3500</v>
      </c>
      <c r="Q35" s="7">
        <f t="shared" si="15"/>
        <v>3500</v>
      </c>
      <c r="R35" s="85"/>
      <c r="S35" s="136"/>
      <c r="T35" s="114">
        <f t="shared" si="22"/>
        <v>0</v>
      </c>
      <c r="U35" s="113"/>
      <c r="V35" s="114">
        <f t="shared" si="16"/>
        <v>0</v>
      </c>
      <c r="W35" s="113"/>
      <c r="X35" s="120"/>
      <c r="Y35" s="111">
        <f t="shared" si="18"/>
        <v>0</v>
      </c>
      <c r="Z35" s="111">
        <f>+N38+P38</f>
        <v>0</v>
      </c>
      <c r="AA35" s="111">
        <f t="shared" si="13"/>
        <v>0</v>
      </c>
      <c r="AB35" s="111"/>
      <c r="AC35" s="111"/>
      <c r="AD35" s="111"/>
      <c r="AE35" s="111"/>
      <c r="AF35" s="111"/>
      <c r="AQ35" t="s">
        <v>239</v>
      </c>
      <c r="AR35" s="91">
        <f>150*12</f>
        <v>1800</v>
      </c>
    </row>
    <row r="36" spans="1:47" x14ac:dyDescent="0.25">
      <c r="A36" s="3" t="s">
        <v>104</v>
      </c>
      <c r="B36" s="7">
        <f>3654.25</f>
        <v>3654.25</v>
      </c>
      <c r="C36" s="7">
        <f>4583.37</f>
        <v>4583.37</v>
      </c>
      <c r="D36" s="7">
        <f t="shared" si="19"/>
        <v>-929.11999999999989</v>
      </c>
      <c r="E36" s="6">
        <f t="shared" si="20"/>
        <v>0.79728453081466255</v>
      </c>
      <c r="M36" s="2"/>
      <c r="N36" s="103"/>
      <c r="O36" s="7"/>
      <c r="P36" s="104">
        <f t="shared" si="14"/>
        <v>0</v>
      </c>
      <c r="Q36" s="7">
        <f t="shared" si="15"/>
        <v>0</v>
      </c>
      <c r="R36" s="85"/>
      <c r="S36" s="85"/>
      <c r="T36" s="114">
        <f t="shared" si="22"/>
        <v>3654.25</v>
      </c>
      <c r="U36" s="114">
        <f>(125*3)/3</f>
        <v>125</v>
      </c>
      <c r="V36" s="114">
        <f t="shared" si="16"/>
        <v>3779.25</v>
      </c>
      <c r="W36" s="114">
        <v>5000</v>
      </c>
      <c r="X36" s="118">
        <f>+W36-V36</f>
        <v>1220.75</v>
      </c>
      <c r="Y36" s="111">
        <f t="shared" si="18"/>
        <v>1270</v>
      </c>
      <c r="Z36" s="111">
        <f>+N39+P39</f>
        <v>0</v>
      </c>
      <c r="AA36" s="111">
        <f t="shared" si="13"/>
        <v>1270</v>
      </c>
      <c r="AB36" s="111"/>
      <c r="AC36" s="111"/>
      <c r="AD36" s="111"/>
      <c r="AE36" s="111"/>
      <c r="AF36" s="111"/>
      <c r="AR36" s="91">
        <f t="shared" ref="AR36" si="23">SUM(AR30:AR35)</f>
        <v>6000</v>
      </c>
    </row>
    <row r="37" spans="1:47" x14ac:dyDescent="0.25">
      <c r="A37" s="3" t="s">
        <v>103</v>
      </c>
      <c r="B37" s="7">
        <f>107388.9</f>
        <v>107388.9</v>
      </c>
      <c r="C37" s="7">
        <f>107250</f>
        <v>107250</v>
      </c>
      <c r="D37" s="7">
        <f t="shared" si="19"/>
        <v>138.89999999999418</v>
      </c>
      <c r="E37" s="6">
        <f t="shared" si="20"/>
        <v>1.0012951048951049</v>
      </c>
      <c r="M37" s="7">
        <v>250</v>
      </c>
      <c r="N37" s="103"/>
      <c r="O37" s="7">
        <v>300</v>
      </c>
      <c r="P37" s="104">
        <f t="shared" si="14"/>
        <v>300</v>
      </c>
      <c r="Q37" s="7">
        <f t="shared" si="15"/>
        <v>550</v>
      </c>
      <c r="R37" s="85">
        <f>SUM(Q23:Q37)</f>
        <v>46350</v>
      </c>
      <c r="S37" s="85"/>
      <c r="T37" s="114">
        <f t="shared" si="22"/>
        <v>107388.9</v>
      </c>
      <c r="U37" s="114">
        <f>10000+1400</f>
        <v>11400</v>
      </c>
      <c r="V37" s="114">
        <f t="shared" si="16"/>
        <v>118788.9</v>
      </c>
      <c r="W37" s="114">
        <v>117000</v>
      </c>
      <c r="X37" s="118">
        <f>+W37-V37</f>
        <v>-1788.8999999999942</v>
      </c>
      <c r="Y37" s="111">
        <f t="shared" si="18"/>
        <v>118050</v>
      </c>
      <c r="Z37" s="111">
        <v>24000</v>
      </c>
      <c r="AA37" s="111">
        <f t="shared" si="13"/>
        <v>142050</v>
      </c>
      <c r="AB37" s="111"/>
      <c r="AC37" s="111"/>
      <c r="AD37" s="111"/>
      <c r="AE37" s="111"/>
      <c r="AF37" s="111"/>
    </row>
    <row r="38" spans="1:47" x14ac:dyDescent="0.25">
      <c r="A38" s="3" t="s">
        <v>102</v>
      </c>
      <c r="B38" s="7">
        <f>1139.31</f>
        <v>1139.31</v>
      </c>
      <c r="C38" s="7">
        <f>1191.63</f>
        <v>1191.6300000000001</v>
      </c>
      <c r="D38" s="7">
        <f t="shared" si="19"/>
        <v>-52.320000000000164</v>
      </c>
      <c r="E38" s="6">
        <f t="shared" si="20"/>
        <v>0.95609375393368734</v>
      </c>
      <c r="M38" s="2"/>
      <c r="N38" s="103"/>
      <c r="O38" s="7"/>
      <c r="P38" s="104">
        <f t="shared" si="14"/>
        <v>0</v>
      </c>
      <c r="Q38" s="7">
        <f t="shared" si="15"/>
        <v>0</v>
      </c>
      <c r="R38" s="85"/>
      <c r="S38" s="85"/>
      <c r="T38" s="114">
        <f t="shared" si="22"/>
        <v>1139.31</v>
      </c>
      <c r="U38" s="114">
        <f>(50*6)/3</f>
        <v>100</v>
      </c>
      <c r="V38" s="114">
        <f t="shared" si="16"/>
        <v>1239.31</v>
      </c>
      <c r="W38" s="114">
        <v>1300</v>
      </c>
      <c r="X38" s="118">
        <f>+W38-V38</f>
        <v>60.690000000000055</v>
      </c>
      <c r="Y38" s="111">
        <f t="shared" si="18"/>
        <v>1000</v>
      </c>
      <c r="Z38" s="111">
        <f>+N41+P41</f>
        <v>0</v>
      </c>
      <c r="AA38" s="111">
        <f t="shared" si="13"/>
        <v>1000</v>
      </c>
      <c r="AB38" s="111"/>
      <c r="AC38" s="111"/>
      <c r="AD38" s="111"/>
      <c r="AE38" s="111"/>
      <c r="AF38" s="111"/>
      <c r="AQ38" t="s">
        <v>234</v>
      </c>
      <c r="AR38">
        <v>0.58499999999999996</v>
      </c>
      <c r="AT38" t="s">
        <v>244</v>
      </c>
    </row>
    <row r="39" spans="1:47" ht="15.75" thickBot="1" x14ac:dyDescent="0.3">
      <c r="A39" s="3" t="s">
        <v>101</v>
      </c>
      <c r="B39" s="7">
        <f>10666.05</f>
        <v>10666.05</v>
      </c>
      <c r="C39" s="7">
        <f>10725</f>
        <v>10725</v>
      </c>
      <c r="D39" s="7">
        <f t="shared" si="19"/>
        <v>-58.950000000000728</v>
      </c>
      <c r="E39" s="6">
        <f t="shared" si="20"/>
        <v>0.99450349650349645</v>
      </c>
      <c r="M39" s="7">
        <f>+(170*12)/2+250</f>
        <v>1270</v>
      </c>
      <c r="N39" s="103"/>
      <c r="O39" s="7"/>
      <c r="P39" s="104">
        <f t="shared" si="14"/>
        <v>0</v>
      </c>
      <c r="Q39" s="7">
        <f t="shared" si="15"/>
        <v>1270</v>
      </c>
      <c r="R39" s="85"/>
      <c r="S39" s="85"/>
      <c r="T39" s="114">
        <f t="shared" si="22"/>
        <v>10666.05</v>
      </c>
      <c r="U39" s="114">
        <f>+(U37*0.1)</f>
        <v>1140</v>
      </c>
      <c r="V39" s="114">
        <f t="shared" si="16"/>
        <v>11806.05</v>
      </c>
      <c r="W39" s="114">
        <v>11700</v>
      </c>
      <c r="X39" s="118">
        <f>+W39-V39</f>
        <v>-106.04999999999927</v>
      </c>
      <c r="Y39" s="111">
        <f t="shared" ref="Y39" si="24">+M42+O42</f>
        <v>11805</v>
      </c>
      <c r="Z39" s="111">
        <f>+Z37*0.1</f>
        <v>2400</v>
      </c>
      <c r="AA39" s="111">
        <f t="shared" si="13"/>
        <v>14205</v>
      </c>
      <c r="AB39" s="111"/>
      <c r="AC39" s="111"/>
      <c r="AD39" s="111"/>
      <c r="AE39" s="111"/>
      <c r="AF39" s="111"/>
      <c r="AR39">
        <v>40</v>
      </c>
      <c r="AS39" t="s">
        <v>241</v>
      </c>
    </row>
    <row r="40" spans="1:47" ht="24" thickBot="1" x14ac:dyDescent="0.3">
      <c r="A40" s="3" t="s">
        <v>100</v>
      </c>
      <c r="B40" s="5">
        <f>((((B35)+(B36))+(B37))+(B38))+(B39)</f>
        <v>122848.51</v>
      </c>
      <c r="C40" s="5">
        <f>((((C35)+(C36))+(C37))+(C38))+(C39)</f>
        <v>123750</v>
      </c>
      <c r="D40" s="5">
        <f t="shared" si="19"/>
        <v>-901.49000000000524</v>
      </c>
      <c r="E40" s="4">
        <f t="shared" si="20"/>
        <v>0.99271523232323233</v>
      </c>
      <c r="H40" s="81">
        <f>+B45</f>
        <v>33938.75</v>
      </c>
      <c r="I40" s="81">
        <f>+C45</f>
        <v>37783.370000000003</v>
      </c>
      <c r="J40" s="78">
        <f>+I40-H40</f>
        <v>3844.6200000000026</v>
      </c>
      <c r="K40" t="s">
        <v>204</v>
      </c>
      <c r="M40" s="7">
        <f>+AW12-AN8</f>
        <v>67113.600000000006</v>
      </c>
      <c r="N40" s="103">
        <v>24000</v>
      </c>
      <c r="O40" s="7">
        <f>74936.4-24000</f>
        <v>50936.399999999994</v>
      </c>
      <c r="P40" s="104">
        <f t="shared" si="14"/>
        <v>74936.399999999994</v>
      </c>
      <c r="Q40" s="7">
        <f t="shared" si="15"/>
        <v>142050</v>
      </c>
      <c r="R40" s="85"/>
      <c r="S40" s="85"/>
      <c r="T40" s="112">
        <f t="shared" ref="T40:V40" si="25">((((T35)+(T36))+(T37))+(T38))+(T39)</f>
        <v>122848.51</v>
      </c>
      <c r="U40" s="112">
        <f t="shared" si="25"/>
        <v>12765</v>
      </c>
      <c r="V40" s="112">
        <f t="shared" si="25"/>
        <v>135613.50999999998</v>
      </c>
      <c r="W40" s="112">
        <f>((((W35)+(W36))+(W37))+(W38))+(W39)</f>
        <v>135000</v>
      </c>
      <c r="X40" s="119">
        <f>((((X35)+(X36))+(X37))+(X38))+(X39)</f>
        <v>-613.5099999999934</v>
      </c>
      <c r="Y40" s="112">
        <f>((((Y35)+(Y36))+(Y37))+(Y38))+(Y39)</f>
        <v>132125</v>
      </c>
      <c r="Z40" s="112">
        <f>((((Z35)+(Z36))+(Z37))+(Z38))+(Z39)</f>
        <v>26400</v>
      </c>
      <c r="AA40" s="112">
        <f>((((AA35)+(AA36))+(AA37))+(AA38))+(AA39)</f>
        <v>158525</v>
      </c>
      <c r="AB40" s="111"/>
      <c r="AC40" s="111">
        <v>141348</v>
      </c>
      <c r="AD40" s="111" t="s">
        <v>258</v>
      </c>
      <c r="AE40" s="111"/>
      <c r="AF40" s="111"/>
      <c r="AR40" s="92">
        <f>+AR39*AR38</f>
        <v>23.4</v>
      </c>
      <c r="AT40">
        <v>4</v>
      </c>
      <c r="AU40">
        <f>+AR40*AT40</f>
        <v>93.6</v>
      </c>
    </row>
    <row r="41" spans="1:47" ht="15.75" thickBot="1" x14ac:dyDescent="0.3">
      <c r="A41" s="3" t="s">
        <v>99</v>
      </c>
      <c r="B41" s="2"/>
      <c r="C41" s="2"/>
      <c r="D41" s="7">
        <f t="shared" si="19"/>
        <v>0</v>
      </c>
      <c r="E41" s="6" t="str">
        <f t="shared" si="20"/>
        <v/>
      </c>
      <c r="M41" s="7">
        <v>1000</v>
      </c>
      <c r="N41" s="103"/>
      <c r="O41" s="7"/>
      <c r="P41" s="104">
        <f t="shared" si="14"/>
        <v>0</v>
      </c>
      <c r="Q41" s="7">
        <f t="shared" si="15"/>
        <v>1000</v>
      </c>
      <c r="R41" s="85"/>
      <c r="S41" s="85"/>
      <c r="X41" s="128"/>
      <c r="AB41" s="111"/>
      <c r="AC41" s="111">
        <f>+AA37-AC40</f>
        <v>702</v>
      </c>
      <c r="AD41" s="111"/>
      <c r="AE41" s="111"/>
      <c r="AF41" s="111"/>
      <c r="AR41">
        <v>40</v>
      </c>
      <c r="AS41" t="s">
        <v>242</v>
      </c>
    </row>
    <row r="42" spans="1:47" ht="15.75" thickBot="1" x14ac:dyDescent="0.3">
      <c r="A42" s="3" t="s">
        <v>98</v>
      </c>
      <c r="B42" s="7">
        <f>24200</f>
        <v>24200</v>
      </c>
      <c r="C42" s="7">
        <f>24200</f>
        <v>24200</v>
      </c>
      <c r="D42" s="7">
        <f t="shared" si="19"/>
        <v>0</v>
      </c>
      <c r="E42" s="6">
        <f t="shared" si="20"/>
        <v>1</v>
      </c>
      <c r="M42" s="7">
        <f>+M40*0.1</f>
        <v>6711.3600000000006</v>
      </c>
      <c r="N42" s="103">
        <f>+N40*0.1</f>
        <v>2400</v>
      </c>
      <c r="O42" s="7">
        <f>+O40*0.1</f>
        <v>5093.6399999999994</v>
      </c>
      <c r="P42" s="104">
        <f t="shared" si="14"/>
        <v>7493.6399999999994</v>
      </c>
      <c r="Q42" s="7">
        <f t="shared" si="15"/>
        <v>14205</v>
      </c>
      <c r="R42" s="85"/>
      <c r="S42" s="85"/>
      <c r="T42" s="114">
        <f>+B42</f>
        <v>24200</v>
      </c>
      <c r="U42" s="114">
        <f>(2200*3)/3</f>
        <v>2200</v>
      </c>
      <c r="V42" s="114">
        <f t="shared" ref="V42:V44" si="26">+T42+U42</f>
        <v>26400</v>
      </c>
      <c r="W42" s="114">
        <v>26400</v>
      </c>
      <c r="X42" s="118">
        <f>+W42-V42</f>
        <v>0</v>
      </c>
      <c r="Y42" s="111">
        <f>+M45+O45</f>
        <v>26400</v>
      </c>
      <c r="Z42" s="111"/>
      <c r="AA42" s="111">
        <f t="shared" ref="AA42:AA44" si="27">+Y42+Z42</f>
        <v>26400</v>
      </c>
      <c r="AB42" s="111"/>
      <c r="AC42" s="111"/>
      <c r="AD42" s="111"/>
      <c r="AE42" s="111"/>
      <c r="AF42" s="111"/>
      <c r="AR42" s="92">
        <f>+AR41*AR38</f>
        <v>23.4</v>
      </c>
      <c r="AT42">
        <v>4</v>
      </c>
      <c r="AU42">
        <f>+AR42*AT42</f>
        <v>93.6</v>
      </c>
    </row>
    <row r="43" spans="1:47" ht="15.75" thickBot="1" x14ac:dyDescent="0.3">
      <c r="A43" s="3" t="s">
        <v>97</v>
      </c>
      <c r="B43" s="7">
        <f>9250</f>
        <v>9250</v>
      </c>
      <c r="C43" s="7">
        <f>9000</f>
        <v>9000</v>
      </c>
      <c r="D43" s="7">
        <f t="shared" si="19"/>
        <v>250</v>
      </c>
      <c r="E43" s="6">
        <f t="shared" si="20"/>
        <v>1.0277777777777777</v>
      </c>
      <c r="M43" s="5">
        <f>((((M38)+(M39))+(M40))+(M41))+(M42)</f>
        <v>76094.960000000006</v>
      </c>
      <c r="N43" s="105">
        <f t="shared" ref="N43:Q43" si="28">((((N38)+(N39))+(N40))+(N41))+(N42)</f>
        <v>26400</v>
      </c>
      <c r="O43" s="5">
        <f t="shared" si="28"/>
        <v>56030.039999999994</v>
      </c>
      <c r="P43" s="106">
        <f t="shared" si="28"/>
        <v>82430.039999999994</v>
      </c>
      <c r="Q43" s="5">
        <f t="shared" si="28"/>
        <v>158525</v>
      </c>
      <c r="R43" s="85"/>
      <c r="S43" s="85"/>
      <c r="T43" s="114">
        <f t="shared" ref="T43:T44" si="29">+B43</f>
        <v>9250</v>
      </c>
      <c r="U43" s="114">
        <v>0</v>
      </c>
      <c r="V43" s="114">
        <f t="shared" si="26"/>
        <v>9250</v>
      </c>
      <c r="W43" s="114">
        <v>9000</v>
      </c>
      <c r="X43" s="118">
        <f t="shared" ref="X43:X44" si="30">+W43-V43</f>
        <v>-250</v>
      </c>
      <c r="Y43" s="111">
        <f>+M46+O46</f>
        <v>9500</v>
      </c>
      <c r="Z43" s="111">
        <f>+N46+P46</f>
        <v>0</v>
      </c>
      <c r="AA43" s="111">
        <f t="shared" si="27"/>
        <v>9500</v>
      </c>
      <c r="AB43" s="115"/>
      <c r="AC43" s="115"/>
      <c r="AD43" s="115"/>
      <c r="AE43" s="115"/>
      <c r="AF43" s="115"/>
      <c r="AR43">
        <v>40</v>
      </c>
      <c r="AS43" t="s">
        <v>243</v>
      </c>
    </row>
    <row r="44" spans="1:47" ht="15.75" thickBot="1" x14ac:dyDescent="0.3">
      <c r="A44" s="3" t="s">
        <v>96</v>
      </c>
      <c r="B44" s="7">
        <f>488.75</f>
        <v>488.75</v>
      </c>
      <c r="C44" s="7">
        <f>4583.37</f>
        <v>4583.37</v>
      </c>
      <c r="D44" s="7">
        <f t="shared" si="19"/>
        <v>-4094.62</v>
      </c>
      <c r="E44" s="6">
        <f t="shared" si="20"/>
        <v>0.10663551055227923</v>
      </c>
      <c r="M44" s="2"/>
      <c r="N44" s="103"/>
      <c r="O44" s="7"/>
      <c r="P44" s="104"/>
      <c r="Q44" s="2"/>
      <c r="R44" s="85"/>
      <c r="S44" s="85"/>
      <c r="T44" s="114">
        <f t="shared" si="29"/>
        <v>488.75</v>
      </c>
      <c r="U44" s="114">
        <v>0</v>
      </c>
      <c r="V44" s="114">
        <f t="shared" si="26"/>
        <v>488.75</v>
      </c>
      <c r="W44" s="114">
        <v>5000</v>
      </c>
      <c r="X44" s="118">
        <f t="shared" si="30"/>
        <v>4511.25</v>
      </c>
      <c r="Y44" s="111">
        <f>+M47+O47</f>
        <v>1000</v>
      </c>
      <c r="Z44" s="111">
        <f>+N47+P47</f>
        <v>0</v>
      </c>
      <c r="AA44" s="111">
        <f t="shared" si="27"/>
        <v>1000</v>
      </c>
      <c r="AB44" s="113"/>
      <c r="AC44" s="113"/>
      <c r="AD44" s="113"/>
      <c r="AE44" s="113"/>
      <c r="AF44" s="113"/>
      <c r="AR44" s="92">
        <f>+AR43*AR38</f>
        <v>23.4</v>
      </c>
      <c r="AT44">
        <v>4</v>
      </c>
      <c r="AU44">
        <f>+AR44*AT44</f>
        <v>93.6</v>
      </c>
    </row>
    <row r="45" spans="1:47" x14ac:dyDescent="0.25">
      <c r="A45" s="3" t="s">
        <v>95</v>
      </c>
      <c r="B45" s="5">
        <f>(((B41)+(B42))+(B43))+(B44)</f>
        <v>33938.75</v>
      </c>
      <c r="C45" s="5">
        <f>(((C41)+(C42))+(C43))+(C44)</f>
        <v>37783.370000000003</v>
      </c>
      <c r="D45" s="5">
        <f t="shared" si="19"/>
        <v>-3844.6200000000026</v>
      </c>
      <c r="E45" s="4">
        <f t="shared" si="20"/>
        <v>0.89824570968656314</v>
      </c>
      <c r="M45" s="7">
        <f>+(2200*12)-AN16</f>
        <v>24600</v>
      </c>
      <c r="N45" s="103"/>
      <c r="O45" s="7">
        <v>1800</v>
      </c>
      <c r="P45" s="104">
        <f t="shared" ref="P45" si="31">+N45+O45</f>
        <v>1800</v>
      </c>
      <c r="Q45" s="7">
        <f t="shared" ref="Q45:Q47" si="32">+M45+P45</f>
        <v>26400</v>
      </c>
      <c r="R45" s="85"/>
      <c r="S45" s="85"/>
      <c r="T45" s="112">
        <f>+T42+T43+T44</f>
        <v>33938.75</v>
      </c>
      <c r="U45" s="112">
        <f t="shared" ref="U45:AA45" si="33">+U42+U43+U44</f>
        <v>2200</v>
      </c>
      <c r="V45" s="112">
        <f t="shared" si="33"/>
        <v>36138.75</v>
      </c>
      <c r="W45" s="112">
        <f t="shared" si="33"/>
        <v>40400</v>
      </c>
      <c r="X45" s="119">
        <f t="shared" si="33"/>
        <v>4261.25</v>
      </c>
      <c r="Y45" s="112">
        <f t="shared" si="33"/>
        <v>36900</v>
      </c>
      <c r="Z45" s="112">
        <f t="shared" si="33"/>
        <v>0</v>
      </c>
      <c r="AA45" s="112">
        <f t="shared" si="33"/>
        <v>36900</v>
      </c>
      <c r="AB45" s="111"/>
      <c r="AC45" s="111"/>
      <c r="AD45" s="111"/>
      <c r="AE45" s="111"/>
      <c r="AF45" s="111"/>
    </row>
    <row r="46" spans="1:47" x14ac:dyDescent="0.25">
      <c r="A46" s="3" t="s">
        <v>94</v>
      </c>
      <c r="B46" s="2"/>
      <c r="C46" s="2"/>
      <c r="D46" s="7">
        <f t="shared" si="19"/>
        <v>0</v>
      </c>
      <c r="E46" s="6" t="str">
        <f t="shared" si="20"/>
        <v/>
      </c>
      <c r="M46" s="7">
        <v>9500</v>
      </c>
      <c r="N46" s="103"/>
      <c r="O46" s="7"/>
      <c r="P46" s="104"/>
      <c r="Q46" s="7">
        <f t="shared" si="32"/>
        <v>9500</v>
      </c>
      <c r="R46" s="85"/>
      <c r="S46" s="85"/>
      <c r="T46" s="113"/>
      <c r="U46" s="113"/>
      <c r="V46" s="113">
        <f>+T46+U46</f>
        <v>0</v>
      </c>
      <c r="W46" s="113"/>
      <c r="X46" s="120"/>
      <c r="Y46" s="113"/>
      <c r="Z46" s="113"/>
      <c r="AA46" s="113"/>
      <c r="AB46" s="111"/>
      <c r="AC46" s="111"/>
      <c r="AD46" s="111"/>
      <c r="AE46" s="111"/>
      <c r="AF46" s="111"/>
    </row>
    <row r="47" spans="1:47" x14ac:dyDescent="0.25">
      <c r="A47" s="3" t="s">
        <v>93</v>
      </c>
      <c r="B47" s="7">
        <f>0</f>
        <v>0</v>
      </c>
      <c r="C47" s="2"/>
      <c r="D47" s="7">
        <f t="shared" si="19"/>
        <v>0</v>
      </c>
      <c r="E47" s="6" t="str">
        <f t="shared" si="20"/>
        <v/>
      </c>
      <c r="M47" s="7">
        <v>1000</v>
      </c>
      <c r="N47" s="103"/>
      <c r="O47" s="7"/>
      <c r="P47" s="104"/>
      <c r="Q47" s="7">
        <f t="shared" si="32"/>
        <v>1000</v>
      </c>
      <c r="R47" s="85"/>
      <c r="S47" s="85"/>
      <c r="T47" s="113"/>
      <c r="U47" s="113"/>
      <c r="V47" s="113"/>
      <c r="W47" s="113"/>
      <c r="X47" s="120"/>
      <c r="Y47" s="113"/>
      <c r="Z47" s="113"/>
      <c r="AA47" s="113"/>
      <c r="AB47" s="111"/>
      <c r="AC47" s="111"/>
      <c r="AD47" s="111"/>
      <c r="AE47" s="111"/>
      <c r="AF47" s="111"/>
    </row>
    <row r="48" spans="1:47" x14ac:dyDescent="0.25">
      <c r="A48" s="3" t="s">
        <v>92</v>
      </c>
      <c r="B48" s="7">
        <f>7535.06</f>
        <v>7535.06</v>
      </c>
      <c r="C48" s="7">
        <f>6500</f>
        <v>6500</v>
      </c>
      <c r="D48" s="7">
        <f t="shared" si="19"/>
        <v>1035.0600000000004</v>
      </c>
      <c r="E48" s="6">
        <f t="shared" si="20"/>
        <v>1.15924</v>
      </c>
      <c r="H48" s="79">
        <f>+B50</f>
        <v>0</v>
      </c>
      <c r="I48" s="79">
        <f>+C50</f>
        <v>0</v>
      </c>
      <c r="J48" s="80">
        <f>+I48-H48</f>
        <v>0</v>
      </c>
      <c r="M48" s="5">
        <f>(((M44)+(M45))+(M46))+(M47)</f>
        <v>35100</v>
      </c>
      <c r="N48" s="105">
        <f t="shared" ref="N48:Q48" si="34">(((N44)+(N45))+(N46))+(N47)</f>
        <v>0</v>
      </c>
      <c r="O48" s="5">
        <f t="shared" si="34"/>
        <v>1800</v>
      </c>
      <c r="P48" s="106">
        <f t="shared" si="34"/>
        <v>1800</v>
      </c>
      <c r="Q48" s="5">
        <f t="shared" si="34"/>
        <v>36900</v>
      </c>
      <c r="R48" s="85"/>
      <c r="S48" s="85"/>
      <c r="T48" s="114">
        <f>+B48</f>
        <v>7535.06</v>
      </c>
      <c r="U48" s="114">
        <v>0</v>
      </c>
      <c r="V48" s="114">
        <f t="shared" ref="V48" si="35">+T48+U48</f>
        <v>7535.06</v>
      </c>
      <c r="W48" s="114">
        <f>6500</f>
        <v>6500</v>
      </c>
      <c r="X48" s="118">
        <f>+W48-V48</f>
        <v>-1035.0600000000004</v>
      </c>
      <c r="Y48" s="111">
        <f>+M51+O51</f>
        <v>6500</v>
      </c>
      <c r="Z48" s="111">
        <f>+N51+P51</f>
        <v>0</v>
      </c>
      <c r="AA48" s="111">
        <f t="shared" ref="AA48" si="36">+Y48+Z48</f>
        <v>6500</v>
      </c>
      <c r="AB48" s="115"/>
      <c r="AC48" s="115"/>
      <c r="AD48" s="115"/>
      <c r="AE48" s="115"/>
      <c r="AF48" s="115"/>
    </row>
    <row r="49" spans="1:32" x14ac:dyDescent="0.25">
      <c r="A49" s="3" t="s">
        <v>91</v>
      </c>
      <c r="B49" s="5">
        <f>((B46)+(B47))+(B48)</f>
        <v>7535.06</v>
      </c>
      <c r="C49" s="5">
        <f>((C46)+(C47))+(C48)</f>
        <v>6500</v>
      </c>
      <c r="D49" s="5">
        <f t="shared" si="19"/>
        <v>1035.0600000000004</v>
      </c>
      <c r="E49" s="4">
        <f t="shared" si="20"/>
        <v>1.15924</v>
      </c>
      <c r="M49" s="2"/>
      <c r="N49" s="103"/>
      <c r="O49" s="7"/>
      <c r="P49" s="104"/>
      <c r="Q49" s="2"/>
      <c r="R49" s="85"/>
      <c r="S49" s="85"/>
      <c r="T49" s="112">
        <f t="shared" ref="T49:V49" si="37">((T46)+(T47))+(T48)</f>
        <v>7535.06</v>
      </c>
      <c r="U49" s="112">
        <f t="shared" si="37"/>
        <v>0</v>
      </c>
      <c r="V49" s="112">
        <f t="shared" si="37"/>
        <v>7535.06</v>
      </c>
      <c r="W49" s="112">
        <f>((W46)+(W47))+(W48)</f>
        <v>6500</v>
      </c>
      <c r="X49" s="119">
        <f>((X46)+(X47))+(X48)</f>
        <v>-1035.0600000000004</v>
      </c>
      <c r="Y49" s="112">
        <f>((Y46)+(Y47))+(Y48)</f>
        <v>6500</v>
      </c>
      <c r="Z49" s="112">
        <f>((Z46)+(Z47))+(Z48)</f>
        <v>0</v>
      </c>
      <c r="AA49" s="112">
        <f>((AA46)+(AA47))+(AA48)</f>
        <v>6500</v>
      </c>
      <c r="AB49" s="113"/>
      <c r="AC49" s="113"/>
      <c r="AD49" s="113"/>
      <c r="AE49" s="113"/>
      <c r="AF49" s="113"/>
    </row>
    <row r="50" spans="1:32" x14ac:dyDescent="0.25">
      <c r="A50" s="3" t="s">
        <v>90</v>
      </c>
      <c r="B50" s="2"/>
      <c r="C50" s="2"/>
      <c r="D50" s="7">
        <f t="shared" si="19"/>
        <v>0</v>
      </c>
      <c r="E50" s="6" t="str">
        <f t="shared" si="20"/>
        <v/>
      </c>
      <c r="M50" s="2"/>
      <c r="N50" s="103"/>
      <c r="O50" s="7"/>
      <c r="P50" s="104"/>
      <c r="Q50" s="2"/>
      <c r="R50" s="85"/>
      <c r="S50" s="85"/>
      <c r="T50" s="113"/>
      <c r="U50" s="113"/>
      <c r="V50" s="113"/>
      <c r="W50" s="113"/>
      <c r="X50" s="120"/>
      <c r="Y50" s="113"/>
      <c r="Z50" s="113"/>
      <c r="AA50" s="113"/>
      <c r="AB50" s="113"/>
      <c r="AC50" s="113"/>
      <c r="AD50" s="113"/>
      <c r="AE50" s="113"/>
      <c r="AF50" s="113"/>
    </row>
    <row r="51" spans="1:32" x14ac:dyDescent="0.25">
      <c r="A51" s="3" t="s">
        <v>89</v>
      </c>
      <c r="B51" s="7">
        <f>1828.5</f>
        <v>1828.5</v>
      </c>
      <c r="C51" s="7">
        <f>1500</f>
        <v>1500</v>
      </c>
      <c r="D51" s="7">
        <f t="shared" si="19"/>
        <v>328.5</v>
      </c>
      <c r="E51" s="6">
        <f t="shared" si="20"/>
        <v>1.2190000000000001</v>
      </c>
      <c r="M51" s="7">
        <f>6500</f>
        <v>6500</v>
      </c>
      <c r="N51" s="103"/>
      <c r="O51" s="7"/>
      <c r="P51" s="104"/>
      <c r="Q51" s="7">
        <f>+M51+P51</f>
        <v>6500</v>
      </c>
      <c r="R51" s="85"/>
      <c r="S51" s="85"/>
      <c r="T51" s="114">
        <f>+B51</f>
        <v>1828.5</v>
      </c>
      <c r="U51" s="114">
        <v>0</v>
      </c>
      <c r="V51" s="114">
        <f t="shared" ref="V51:V56" si="38">+T51+U51</f>
        <v>1828.5</v>
      </c>
      <c r="W51" s="114">
        <v>1500</v>
      </c>
      <c r="X51" s="118">
        <f t="shared" ref="X51:X56" si="39">+W51-V51</f>
        <v>-328.5</v>
      </c>
      <c r="Y51" s="111">
        <f t="shared" ref="Y51:Z53" si="40">+M54+O54</f>
        <v>1450</v>
      </c>
      <c r="Z51" s="111">
        <f t="shared" si="40"/>
        <v>0</v>
      </c>
      <c r="AA51" s="111">
        <f t="shared" ref="AA51:AA56" si="41">+Y51+Z51</f>
        <v>1450</v>
      </c>
      <c r="AB51" s="111"/>
      <c r="AC51" s="111"/>
      <c r="AD51" s="111"/>
      <c r="AE51" s="111"/>
      <c r="AF51" s="111"/>
    </row>
    <row r="52" spans="1:32" x14ac:dyDescent="0.25">
      <c r="A52" s="3" t="s">
        <v>88</v>
      </c>
      <c r="B52" s="7">
        <f>590.84</f>
        <v>590.84</v>
      </c>
      <c r="C52" s="7">
        <f>1100</f>
        <v>1100</v>
      </c>
      <c r="D52" s="7">
        <f t="shared" si="19"/>
        <v>-509.15999999999997</v>
      </c>
      <c r="E52" s="6">
        <f t="shared" si="20"/>
        <v>0.53712727272727279</v>
      </c>
      <c r="H52" s="79">
        <f>+B54</f>
        <v>1503.93</v>
      </c>
      <c r="I52" s="79">
        <f>+C54</f>
        <v>2291.63</v>
      </c>
      <c r="J52" s="80">
        <f>+I52-H52</f>
        <v>787.7</v>
      </c>
      <c r="M52" s="5">
        <f>((M49)+(M50))+(M51)</f>
        <v>6500</v>
      </c>
      <c r="N52" s="105">
        <f>((N49)+(N50))+(N51)</f>
        <v>0</v>
      </c>
      <c r="O52" s="5">
        <f>((O49)+(O50))+(O51)</f>
        <v>0</v>
      </c>
      <c r="P52" s="106">
        <f>((P49)+(P50))+(P51)</f>
        <v>0</v>
      </c>
      <c r="Q52" s="5">
        <f>((Q49)+(Q50))+(Q51)</f>
        <v>6500</v>
      </c>
      <c r="R52" s="85"/>
      <c r="S52" s="85"/>
      <c r="T52" s="114">
        <f t="shared" ref="T52:T56" si="42">+B52</f>
        <v>590.84</v>
      </c>
      <c r="U52" s="114">
        <v>33.333333333333336</v>
      </c>
      <c r="V52" s="114">
        <f t="shared" si="38"/>
        <v>624.1733333333334</v>
      </c>
      <c r="W52" s="114">
        <v>1200</v>
      </c>
      <c r="X52" s="118">
        <f t="shared" si="39"/>
        <v>575.8266666666666</v>
      </c>
      <c r="Y52" s="111">
        <f t="shared" si="40"/>
        <v>500</v>
      </c>
      <c r="Z52" s="111">
        <f t="shared" si="40"/>
        <v>0</v>
      </c>
      <c r="AA52" s="111">
        <f t="shared" si="41"/>
        <v>500</v>
      </c>
      <c r="AB52" s="115"/>
      <c r="AC52" s="115"/>
      <c r="AD52" s="115"/>
      <c r="AE52" s="115"/>
      <c r="AF52" s="115"/>
    </row>
    <row r="53" spans="1:32" x14ac:dyDescent="0.25">
      <c r="A53" s="3" t="s">
        <v>87</v>
      </c>
      <c r="B53" s="7">
        <f>546.33</f>
        <v>546.33000000000004</v>
      </c>
      <c r="C53" s="7">
        <f>2750</f>
        <v>2750</v>
      </c>
      <c r="D53" s="7">
        <f t="shared" si="19"/>
        <v>-2203.67</v>
      </c>
      <c r="E53" s="6">
        <f t="shared" si="20"/>
        <v>0.19866545454545456</v>
      </c>
      <c r="M53" s="2"/>
      <c r="N53" s="103"/>
      <c r="O53" s="7"/>
      <c r="P53" s="104"/>
      <c r="Q53" s="2"/>
      <c r="R53" s="85"/>
      <c r="S53" s="85"/>
      <c r="T53" s="114">
        <f t="shared" si="42"/>
        <v>546.33000000000004</v>
      </c>
      <c r="U53" s="114">
        <v>16.666666666666668</v>
      </c>
      <c r="V53" s="114">
        <f t="shared" si="38"/>
        <v>562.99666666666667</v>
      </c>
      <c r="W53" s="114">
        <v>3000</v>
      </c>
      <c r="X53" s="118">
        <f t="shared" si="39"/>
        <v>2437.0033333333331</v>
      </c>
      <c r="Y53" s="111">
        <f t="shared" si="40"/>
        <v>100</v>
      </c>
      <c r="Z53" s="111">
        <f t="shared" si="40"/>
        <v>0</v>
      </c>
      <c r="AA53" s="111">
        <f t="shared" si="41"/>
        <v>100</v>
      </c>
      <c r="AB53" s="113"/>
      <c r="AC53" s="113"/>
      <c r="AD53" s="113"/>
      <c r="AE53" s="113"/>
      <c r="AF53" s="113"/>
    </row>
    <row r="54" spans="1:32" x14ac:dyDescent="0.25">
      <c r="A54" s="3" t="s">
        <v>86</v>
      </c>
      <c r="B54" s="7">
        <f>1503.93</f>
        <v>1503.93</v>
      </c>
      <c r="C54" s="7">
        <f>2291.63</f>
        <v>2291.63</v>
      </c>
      <c r="D54" s="7">
        <f t="shared" si="19"/>
        <v>-787.7</v>
      </c>
      <c r="E54" s="6">
        <f t="shared" si="20"/>
        <v>0.65627086397018719</v>
      </c>
      <c r="M54" s="7">
        <f>1450</f>
        <v>1450</v>
      </c>
      <c r="N54" s="103"/>
      <c r="O54" s="7"/>
      <c r="P54" s="104"/>
      <c r="Q54" s="7">
        <f>+M54+P54</f>
        <v>1450</v>
      </c>
      <c r="R54" s="85"/>
      <c r="S54" s="85"/>
      <c r="T54" s="114">
        <f t="shared" si="42"/>
        <v>1503.93</v>
      </c>
      <c r="U54" s="114">
        <v>16.666666666666668</v>
      </c>
      <c r="V54" s="114">
        <f t="shared" si="38"/>
        <v>1520.5966666666668</v>
      </c>
      <c r="W54" s="114">
        <v>2500</v>
      </c>
      <c r="X54" s="118">
        <f t="shared" si="39"/>
        <v>979.40333333333319</v>
      </c>
      <c r="Y54" s="111">
        <f>+M57+O57</f>
        <v>2000</v>
      </c>
      <c r="Z54" s="111"/>
      <c r="AA54" s="111">
        <f t="shared" si="41"/>
        <v>2000</v>
      </c>
      <c r="AB54" s="111"/>
      <c r="AC54" s="111"/>
      <c r="AD54" s="111"/>
      <c r="AE54" s="111"/>
      <c r="AF54" s="111"/>
    </row>
    <row r="55" spans="1:32" x14ac:dyDescent="0.25">
      <c r="A55" s="3" t="s">
        <v>85</v>
      </c>
      <c r="B55" s="7">
        <f>140</f>
        <v>140</v>
      </c>
      <c r="C55" s="7">
        <f>150</f>
        <v>150</v>
      </c>
      <c r="D55" s="7">
        <f t="shared" si="19"/>
        <v>-10</v>
      </c>
      <c r="E55" s="6">
        <f t="shared" si="20"/>
        <v>0.93333333333333335</v>
      </c>
      <c r="M55" s="7">
        <v>500</v>
      </c>
      <c r="N55" s="103"/>
      <c r="O55" s="7"/>
      <c r="P55" s="104"/>
      <c r="Q55" s="7">
        <f t="shared" ref="Q55:Q59" si="43">+M55+P55</f>
        <v>500</v>
      </c>
      <c r="R55" s="85"/>
      <c r="S55" s="85"/>
      <c r="T55" s="114">
        <f t="shared" si="42"/>
        <v>140</v>
      </c>
      <c r="U55" s="114">
        <v>0</v>
      </c>
      <c r="V55" s="114">
        <f t="shared" si="38"/>
        <v>140</v>
      </c>
      <c r="W55" s="114">
        <f>150</f>
        <v>150</v>
      </c>
      <c r="X55" s="118">
        <f t="shared" si="39"/>
        <v>10</v>
      </c>
      <c r="Y55" s="111">
        <f>+M58+O58</f>
        <v>150</v>
      </c>
      <c r="Z55" s="111">
        <f>+N58+P58</f>
        <v>0</v>
      </c>
      <c r="AA55" s="111">
        <f t="shared" si="41"/>
        <v>150</v>
      </c>
      <c r="AB55" s="111"/>
      <c r="AC55" s="111"/>
      <c r="AD55" s="111"/>
      <c r="AE55" s="111"/>
      <c r="AF55" s="111"/>
    </row>
    <row r="56" spans="1:32" x14ac:dyDescent="0.25">
      <c r="A56" s="3" t="s">
        <v>84</v>
      </c>
      <c r="B56" s="7">
        <f>2351.31</f>
        <v>2351.31</v>
      </c>
      <c r="C56" s="7">
        <f>916.63</f>
        <v>916.63</v>
      </c>
      <c r="D56" s="7">
        <f t="shared" si="19"/>
        <v>1434.6799999999998</v>
      </c>
      <c r="E56" s="6">
        <f t="shared" si="20"/>
        <v>2.5651680612679053</v>
      </c>
      <c r="M56" s="7">
        <v>100</v>
      </c>
      <c r="N56" s="103"/>
      <c r="O56" s="7"/>
      <c r="P56" s="104"/>
      <c r="Q56" s="7">
        <f t="shared" si="43"/>
        <v>100</v>
      </c>
      <c r="R56" s="85"/>
      <c r="S56" s="85"/>
      <c r="T56" s="114">
        <f t="shared" si="42"/>
        <v>2351.31</v>
      </c>
      <c r="U56" s="114">
        <f>(90*3)/3</f>
        <v>90</v>
      </c>
      <c r="V56" s="114">
        <f t="shared" si="38"/>
        <v>2441.31</v>
      </c>
      <c r="W56" s="114">
        <v>1000</v>
      </c>
      <c r="X56" s="118">
        <f t="shared" si="39"/>
        <v>-1441.31</v>
      </c>
      <c r="Y56" s="111">
        <f>+M59+O59</f>
        <v>540</v>
      </c>
      <c r="Z56" s="111">
        <f>+N59+P59</f>
        <v>0</v>
      </c>
      <c r="AA56" s="111">
        <f t="shared" si="41"/>
        <v>540</v>
      </c>
      <c r="AB56" s="111"/>
      <c r="AC56" s="111"/>
      <c r="AD56" s="111"/>
      <c r="AE56" s="111"/>
      <c r="AF56" s="111"/>
    </row>
    <row r="57" spans="1:32" x14ac:dyDescent="0.25">
      <c r="A57" s="3" t="s">
        <v>83</v>
      </c>
      <c r="B57" s="5">
        <f>((((((B50)+(B51))+(B52))+(B53))+(B54))+(B55))+(B56)</f>
        <v>6960.91</v>
      </c>
      <c r="C57" s="5">
        <f>((((((C50)+(C51))+(C52))+(C53))+(C54))+(C55))+(C56)</f>
        <v>8708.26</v>
      </c>
      <c r="D57" s="5">
        <f t="shared" si="19"/>
        <v>-1747.3500000000004</v>
      </c>
      <c r="E57" s="4">
        <f t="shared" si="20"/>
        <v>0.79934567870045214</v>
      </c>
      <c r="M57" s="7">
        <v>500</v>
      </c>
      <c r="N57" s="103"/>
      <c r="O57" s="7">
        <v>1500</v>
      </c>
      <c r="P57" s="104">
        <f t="shared" ref="P57" si="44">+N57+O57</f>
        <v>1500</v>
      </c>
      <c r="Q57" s="7">
        <f t="shared" si="43"/>
        <v>2000</v>
      </c>
      <c r="R57" s="85"/>
      <c r="S57" s="85"/>
      <c r="T57" s="112">
        <f t="shared" ref="T57:V57" si="45">((((((T50)+(T51))+(T52))+(T53))+(T54))+(T55))+(T56)</f>
        <v>6960.91</v>
      </c>
      <c r="U57" s="112">
        <f t="shared" si="45"/>
        <v>156.66666666666669</v>
      </c>
      <c r="V57" s="112">
        <f t="shared" si="45"/>
        <v>7117.5766666666659</v>
      </c>
      <c r="W57" s="112">
        <f>((((((W50)+(W51))+(W52))+(W53))+(W54))+(W55))+(W56)</f>
        <v>9350</v>
      </c>
      <c r="X57" s="119">
        <f>((((((X50)+(X51))+(X52))+(X53))+(X54))+(X55))+(X56)</f>
        <v>2232.4233333333332</v>
      </c>
      <c r="Y57" s="112">
        <f>((((((Y50)+(Y51))+(Y52))+(Y53))+(Y54))+(Y55))+(Y56)</f>
        <v>4740</v>
      </c>
      <c r="Z57" s="112">
        <f>((((((Z50)+(Z51))+(Z52))+(Z53))+(Z54))+(Z55))+(Z56)</f>
        <v>0</v>
      </c>
      <c r="AA57" s="112">
        <f>((((((AA50)+(AA51))+(AA52))+(AA53))+(AA54))+(AA55))+(AA56)</f>
        <v>4740</v>
      </c>
      <c r="AB57" s="111"/>
      <c r="AC57" s="111"/>
      <c r="AD57" s="111"/>
      <c r="AE57" s="111"/>
      <c r="AF57" s="111"/>
    </row>
    <row r="58" spans="1:32" x14ac:dyDescent="0.25">
      <c r="A58" s="3" t="s">
        <v>82</v>
      </c>
      <c r="B58" s="2"/>
      <c r="C58" s="2"/>
      <c r="D58" s="7">
        <f t="shared" si="19"/>
        <v>0</v>
      </c>
      <c r="E58" s="6" t="str">
        <f t="shared" si="20"/>
        <v/>
      </c>
      <c r="M58" s="7">
        <f>150</f>
        <v>150</v>
      </c>
      <c r="N58" s="103"/>
      <c r="O58" s="7"/>
      <c r="P58" s="104"/>
      <c r="Q58" s="7">
        <f t="shared" si="43"/>
        <v>150</v>
      </c>
      <c r="R58" s="85"/>
      <c r="S58" s="85"/>
      <c r="T58" s="113"/>
      <c r="U58" s="113"/>
      <c r="V58" s="113"/>
      <c r="W58" s="113"/>
      <c r="X58" s="120"/>
      <c r="Y58" s="113"/>
      <c r="Z58" s="113"/>
      <c r="AA58" s="113"/>
      <c r="AB58" s="111"/>
      <c r="AC58" s="111"/>
      <c r="AD58" s="111"/>
      <c r="AE58" s="111"/>
      <c r="AF58" s="111"/>
    </row>
    <row r="59" spans="1:32" x14ac:dyDescent="0.25">
      <c r="A59" s="3" t="s">
        <v>81</v>
      </c>
      <c r="B59" s="7">
        <f>2749.25</f>
        <v>2749.25</v>
      </c>
      <c r="C59" s="7">
        <f>1833.37</f>
        <v>1833.37</v>
      </c>
      <c r="D59" s="7">
        <f t="shared" si="19"/>
        <v>915.88000000000011</v>
      </c>
      <c r="E59" s="6">
        <f t="shared" si="20"/>
        <v>1.4995609178725517</v>
      </c>
      <c r="H59" s="79"/>
      <c r="M59" s="7">
        <f>90*12/2</f>
        <v>540</v>
      </c>
      <c r="N59" s="103"/>
      <c r="O59" s="7"/>
      <c r="P59" s="104"/>
      <c r="Q59" s="7">
        <f t="shared" si="43"/>
        <v>540</v>
      </c>
      <c r="R59" s="85"/>
      <c r="S59" s="85"/>
      <c r="T59" s="114">
        <f>+B59</f>
        <v>2749.25</v>
      </c>
      <c r="U59" s="114">
        <v>83.333333333333329</v>
      </c>
      <c r="V59" s="114">
        <f t="shared" ref="V59:V60" si="46">+T59+U59</f>
        <v>2832.5833333333335</v>
      </c>
      <c r="W59" s="114">
        <v>2000</v>
      </c>
      <c r="X59" s="118">
        <f>+W59-V59</f>
        <v>-832.58333333333348</v>
      </c>
      <c r="Y59" s="111">
        <f>+M62+O62</f>
        <v>3500</v>
      </c>
      <c r="Z59" s="111"/>
      <c r="AA59" s="111">
        <f t="shared" ref="AA59:AA61" si="47">+Y59+Z59</f>
        <v>3500</v>
      </c>
      <c r="AB59" s="111"/>
      <c r="AC59" s="111"/>
      <c r="AD59" s="111"/>
      <c r="AE59" s="111"/>
      <c r="AF59" s="111"/>
    </row>
    <row r="60" spans="1:32" x14ac:dyDescent="0.25">
      <c r="A60" s="3" t="s">
        <v>80</v>
      </c>
      <c r="B60" s="2"/>
      <c r="C60" s="7">
        <f>458.37</f>
        <v>458.37</v>
      </c>
      <c r="D60" s="7">
        <f t="shared" si="19"/>
        <v>-458.37</v>
      </c>
      <c r="E60" s="6">
        <f t="shared" si="20"/>
        <v>0</v>
      </c>
      <c r="H60" s="79">
        <f>+B62</f>
        <v>2807.54</v>
      </c>
      <c r="I60" s="79">
        <f>+C62</f>
        <v>2291.7399999999998</v>
      </c>
      <c r="J60" s="80">
        <f>+I60-H60</f>
        <v>-515.80000000000018</v>
      </c>
      <c r="M60" s="5">
        <f>((((((M53)+(M54))+(M55))+(M56))+(M57))+(M58))+(M59)</f>
        <v>3240</v>
      </c>
      <c r="N60" s="105">
        <f t="shared" ref="N60:Q60" si="48">((((((N53)+(N54))+(N55))+(N56))+(N57))+(N58))+(N59)</f>
        <v>0</v>
      </c>
      <c r="O60" s="5">
        <f t="shared" si="48"/>
        <v>1500</v>
      </c>
      <c r="P60" s="106">
        <f t="shared" si="48"/>
        <v>1500</v>
      </c>
      <c r="Q60" s="5">
        <f t="shared" si="48"/>
        <v>4740</v>
      </c>
      <c r="R60" s="85"/>
      <c r="S60" s="85"/>
      <c r="T60" s="114"/>
      <c r="U60" s="114"/>
      <c r="V60" s="114">
        <f t="shared" si="46"/>
        <v>0</v>
      </c>
      <c r="W60" s="114">
        <v>500</v>
      </c>
      <c r="X60" s="118">
        <f>+W60-V60</f>
        <v>500</v>
      </c>
      <c r="Y60" s="111">
        <f>+M63+O63</f>
        <v>150</v>
      </c>
      <c r="Z60" s="111">
        <f>+N63+P63</f>
        <v>0</v>
      </c>
      <c r="AA60" s="111">
        <f t="shared" si="47"/>
        <v>150</v>
      </c>
      <c r="AB60" s="115"/>
      <c r="AC60" s="115"/>
      <c r="AD60" s="115"/>
      <c r="AE60" s="115"/>
      <c r="AF60" s="115"/>
    </row>
    <row r="61" spans="1:32" x14ac:dyDescent="0.25">
      <c r="A61" s="3" t="s">
        <v>79</v>
      </c>
      <c r="B61" s="7">
        <f>58.29</f>
        <v>58.29</v>
      </c>
      <c r="C61" s="2"/>
      <c r="D61" s="7">
        <f t="shared" si="19"/>
        <v>58.29</v>
      </c>
      <c r="E61" s="6" t="str">
        <f t="shared" si="20"/>
        <v/>
      </c>
      <c r="M61" s="2"/>
      <c r="N61" s="103"/>
      <c r="O61" s="7"/>
      <c r="P61" s="104"/>
      <c r="Q61" s="2"/>
      <c r="R61" s="85"/>
      <c r="S61" s="85"/>
      <c r="T61" s="114">
        <f>+B61</f>
        <v>58.29</v>
      </c>
      <c r="U61" s="113">
        <v>0</v>
      </c>
      <c r="V61" s="113">
        <f>+T61+U61</f>
        <v>58.29</v>
      </c>
      <c r="W61" s="113"/>
      <c r="X61" s="118">
        <f>+W61-V61</f>
        <v>-58.29</v>
      </c>
      <c r="Y61" s="111">
        <f>+M64+O64</f>
        <v>150</v>
      </c>
      <c r="Z61" s="111">
        <f>+N64+P64</f>
        <v>0</v>
      </c>
      <c r="AA61" s="111">
        <f t="shared" si="47"/>
        <v>150</v>
      </c>
      <c r="AB61" s="113"/>
      <c r="AC61" s="113"/>
      <c r="AD61" s="113"/>
      <c r="AE61" s="113"/>
      <c r="AF61" s="113"/>
    </row>
    <row r="62" spans="1:32" x14ac:dyDescent="0.25">
      <c r="A62" s="3" t="s">
        <v>78</v>
      </c>
      <c r="B62" s="5">
        <f>(((B58)+(B59))+(B60))+(B61)</f>
        <v>2807.54</v>
      </c>
      <c r="C62" s="5">
        <f>(((C58)+(C59))+(C60))+(C61)</f>
        <v>2291.7399999999998</v>
      </c>
      <c r="D62" s="5">
        <f t="shared" si="19"/>
        <v>515.80000000000018</v>
      </c>
      <c r="E62" s="4">
        <f t="shared" si="20"/>
        <v>1.2250691614231981</v>
      </c>
      <c r="M62" s="7">
        <v>500</v>
      </c>
      <c r="N62" s="103"/>
      <c r="O62" s="7">
        <v>3000</v>
      </c>
      <c r="P62" s="104">
        <f t="shared" ref="P62" si="49">+N62+O62</f>
        <v>3000</v>
      </c>
      <c r="Q62" s="7">
        <f>+M62+P62</f>
        <v>3500</v>
      </c>
      <c r="R62" s="85"/>
      <c r="S62" s="85"/>
      <c r="T62" s="112">
        <f t="shared" ref="T62:AA62" si="50">(((T58)+(T59))+(T60))+(T61)</f>
        <v>2807.54</v>
      </c>
      <c r="U62" s="112">
        <f t="shared" si="50"/>
        <v>83.333333333333329</v>
      </c>
      <c r="V62" s="112">
        <f t="shared" si="50"/>
        <v>2890.8733333333334</v>
      </c>
      <c r="W62" s="112">
        <f t="shared" si="50"/>
        <v>2500</v>
      </c>
      <c r="X62" s="119">
        <f t="shared" si="50"/>
        <v>-390.87333333333351</v>
      </c>
      <c r="Y62" s="112">
        <f t="shared" si="50"/>
        <v>3800</v>
      </c>
      <c r="Z62" s="112">
        <f t="shared" si="50"/>
        <v>0</v>
      </c>
      <c r="AA62" s="112">
        <f t="shared" si="50"/>
        <v>3800</v>
      </c>
      <c r="AB62" s="111"/>
      <c r="AC62" s="111"/>
      <c r="AD62" s="111"/>
      <c r="AE62" s="111"/>
      <c r="AF62" s="111"/>
    </row>
    <row r="63" spans="1:32" x14ac:dyDescent="0.25">
      <c r="A63" s="3" t="s">
        <v>77</v>
      </c>
      <c r="B63" s="5">
        <f>((((((((((((((((B20)+(B23))+(B24))+(B25))+(B26))+(B27))+(B29))+(B30))+(B31))+(B32))+(B33))+(B34))+(B40))+(B45))+(B49))+(B57))+(B62)+B28</f>
        <v>213475.24</v>
      </c>
      <c r="C63" s="5">
        <f t="shared" ref="C63:D63" si="51">((((((((((((((((C20)+(C23))+(C24))+(C25))+(C26))+(C27))+(C29))+(C30))+(C31))+(C32))+(C33))+(C34))+(C40))+(C45))+(C49))+(C57))+(C62)+C28</f>
        <v>217752.63</v>
      </c>
      <c r="D63" s="5">
        <f t="shared" si="51"/>
        <v>-4277.3900000000076</v>
      </c>
      <c r="E63" s="4">
        <f t="shared" si="20"/>
        <v>0.98035665516416493</v>
      </c>
      <c r="M63" s="7">
        <v>150</v>
      </c>
      <c r="N63" s="103"/>
      <c r="O63" s="7"/>
      <c r="P63" s="104"/>
      <c r="Q63" s="7">
        <f t="shared" ref="Q63:Q64" si="52">+M63+P63</f>
        <v>150</v>
      </c>
      <c r="R63" s="85"/>
      <c r="S63" s="85"/>
      <c r="T63" s="112">
        <f>((((((((((((((((T20)+(T23))+(T24))+(T25))+(T27))+(T28))+(T29))+(T30))+(T31))+(T32))+(T33))+(T34))+(T40))+(T45))+(T49))+(T57))+(T62)</f>
        <v>213475.24</v>
      </c>
      <c r="U63" s="112">
        <f>((((((((((((((((U20)+(U23))+(U24))+(U25))+(U27))+(U28))+(U29))+(U30))+(U31))+(U32))+(U33))+(U34))+(U40))+(U45))+(U49))+(U57))+(U62)</f>
        <v>20064.713483146068</v>
      </c>
      <c r="V63" s="112">
        <f>((((((((((((((((V20)+(V23))+(V24))+(V25))+(V27))+(V28))+(V29))+(V30))+(V31))+(V32))+(V33))+(V34))+(V40))+(V45))+(V49))+(V57))+(V62)</f>
        <v>233539.95348314603</v>
      </c>
      <c r="W63" s="112">
        <f>((((((((((((((((W20)+(W23))+(W24))+(W25))+(W27))+(W28))+(W29))+(W30))+(W31))+(W32))+(W33))+(W34))+(W40))+(W45))+(W49))+(W57))+(W62)</f>
        <v>233211</v>
      </c>
      <c r="X63" s="119">
        <f>((((((((((((((((X20)+(X23))+(X24))+(X25))+(X27))+(X28))+(X29))+(X30))+(X31))+(X32))+(X33))+(X34))+(X40))+(X45))+(X49))+(X57))+(X62)</f>
        <v>-328.95348314606287</v>
      </c>
      <c r="Y63" s="112">
        <f>((((((((((((((((Y20)+(Y23))+(Y24))+(Y25))+(Y27))+(Y28))+(Y29))+(Y30))+(Y31))+(Y32))+(Y33))+(Y34))+(Y40))+(Y45))+(Y49))+(Y57))+(Y62)+Y26+Y21+Y22</f>
        <v>233415</v>
      </c>
      <c r="Z63" s="112">
        <f t="shared" ref="Z63:AA63" si="53">((((((((((((((((Z20)+(Z23))+(Z24))+(Z25))+(Z27))+(Z28))+(Z29))+(Z30))+(Z31))+(Z32))+(Z33))+(Z34))+(Z40))+(Z45))+(Z49))+(Z57))+(Z62)+Z26+Z21+Z22</f>
        <v>44400</v>
      </c>
      <c r="AA63" s="112">
        <f t="shared" si="53"/>
        <v>277815</v>
      </c>
      <c r="AB63" s="111"/>
      <c r="AC63" s="111"/>
      <c r="AD63" s="111"/>
      <c r="AE63" s="111"/>
      <c r="AF63" s="111"/>
    </row>
    <row r="64" spans="1:32" x14ac:dyDescent="0.25">
      <c r="A64" s="3" t="s">
        <v>76</v>
      </c>
      <c r="B64" s="134">
        <f>(B18)-(B63)</f>
        <v>-31530.860000000015</v>
      </c>
      <c r="C64" s="134">
        <f>(C18)-(C63)</f>
        <v>-34752.630000000005</v>
      </c>
      <c r="D64" s="134">
        <f>(B64)-(C64)</f>
        <v>3221.7699999999895</v>
      </c>
      <c r="E64" s="135">
        <f t="shared" si="20"/>
        <v>0.90729421053888615</v>
      </c>
      <c r="M64" s="2">
        <v>150</v>
      </c>
      <c r="N64" s="103"/>
      <c r="O64" s="7"/>
      <c r="P64" s="104"/>
      <c r="Q64" s="7">
        <f t="shared" si="52"/>
        <v>150</v>
      </c>
      <c r="R64" s="85"/>
      <c r="S64" s="85"/>
      <c r="T64" s="112">
        <f>(T18)-(T63)</f>
        <v>-4.0000000008149073E-2</v>
      </c>
      <c r="U64" s="112">
        <f t="shared" ref="U64:X64" si="54">(U18)-(U63)</f>
        <v>-0.3801498127359082</v>
      </c>
      <c r="V64" s="112">
        <f t="shared" si="54"/>
        <v>-0.42014981270767748</v>
      </c>
      <c r="W64" s="112">
        <f t="shared" si="54"/>
        <v>0</v>
      </c>
      <c r="X64" s="112">
        <f t="shared" si="54"/>
        <v>0.42014981273058538</v>
      </c>
      <c r="Y64" s="112">
        <f>(Y18)-(Y63)</f>
        <v>0</v>
      </c>
      <c r="Z64" s="112">
        <f t="shared" ref="Z64:AA64" si="55">(Z18)-(Z63)</f>
        <v>0</v>
      </c>
      <c r="AA64" s="112">
        <f t="shared" si="55"/>
        <v>0</v>
      </c>
      <c r="AB64" s="111"/>
      <c r="AC64" s="111"/>
      <c r="AD64" s="111"/>
      <c r="AE64" s="111"/>
      <c r="AF64" s="111"/>
    </row>
    <row r="65" spans="1:32" x14ac:dyDescent="0.25">
      <c r="A65" s="3" t="s">
        <v>75</v>
      </c>
      <c r="B65" s="2"/>
      <c r="C65" s="2"/>
      <c r="D65" s="2"/>
      <c r="E65" s="2"/>
      <c r="H65" s="79">
        <f>+B67</f>
        <v>0</v>
      </c>
      <c r="I65" s="79">
        <f>+C67</f>
        <v>0</v>
      </c>
      <c r="J65" s="80">
        <f>+I65-H65</f>
        <v>0</v>
      </c>
      <c r="K65" s="85">
        <f>SUM(J34:J65)</f>
        <v>4565.9700000000139</v>
      </c>
      <c r="M65" s="5">
        <f>(((M61)+(M62))+(M63))+(M64)</f>
        <v>800</v>
      </c>
      <c r="N65" s="5">
        <f t="shared" ref="N65:Q65" si="56">(((N61)+(N62))+(N63))+(N64)</f>
        <v>0</v>
      </c>
      <c r="O65" s="5">
        <f t="shared" si="56"/>
        <v>3000</v>
      </c>
      <c r="P65" s="5">
        <f t="shared" si="56"/>
        <v>3000</v>
      </c>
      <c r="Q65" s="5">
        <f t="shared" si="56"/>
        <v>3800</v>
      </c>
      <c r="R65" s="85"/>
      <c r="S65" s="85"/>
      <c r="W65" s="74"/>
      <c r="AB65" s="115"/>
      <c r="AC65" s="115"/>
      <c r="AD65" s="115"/>
      <c r="AE65" s="115"/>
      <c r="AF65" s="115"/>
    </row>
    <row r="66" spans="1:32" x14ac:dyDescent="0.25">
      <c r="A66" s="3" t="s">
        <v>74</v>
      </c>
      <c r="B66" s="7">
        <f>1635997.55</f>
        <v>1635997.55</v>
      </c>
      <c r="C66" s="2"/>
      <c r="D66" s="7">
        <f t="shared" ref="D66:D74" si="57">(B66)-(C66)</f>
        <v>1635997.55</v>
      </c>
      <c r="E66" s="6" t="str">
        <f t="shared" ref="E66:E74" si="58">IF(C66=0,"",(B66)/(C66))</f>
        <v/>
      </c>
      <c r="H66" s="81"/>
      <c r="J66" s="78"/>
      <c r="M66" s="5">
        <f>((((((((((((((((M23)+(M26))+(M27))+(M28))+(M30))+(M31))+(M32))+(M33))+(M34))+(M35))+(M36))+(M37))+(M43))+(M48))+(M52))+(M60))+(M65)</f>
        <v>157784.96000000002</v>
      </c>
      <c r="N66" s="105">
        <f>((((((((((((((((N23)+(N26))+(N27))+(N28))+(N30))+(N31))+(N32))+(N33))+(N34))+(N35))+(N36))+(N37))+(N43))+(N48))+(N52))+(N60))+(N65)</f>
        <v>26400</v>
      </c>
      <c r="O66" s="5">
        <f>((((((((((((((((O23)+(O26))+(O27))+(O28))+(O30))+(O31))+(O32))+(O33))+(O34))+(O35))+(O36))+(O37))+(O43))+(O48))+(O52))+(O60))+(O65)+O29</f>
        <v>72630.039999999994</v>
      </c>
      <c r="P66" s="5">
        <f>((((((((((((((((P23)+(P26))+(P27))+(P28))+(P30))+(P31))+(P32))+(P33))+(P34))+(P35))+(P36))+(P37))+(P43))+(P48))+(P52))+(P60))+(P65)+P29</f>
        <v>99030.04</v>
      </c>
      <c r="Q66" s="5">
        <f>((((((((((((((((Q23)+(Q26))+(Q27))+(Q28))+(Q30))+(Q31))+(Q32))+(Q33))+(Q34))+(Q35))+(Q36))+(Q37))+(Q43))+(Q48))+(Q52))+(Q60))+(Q65)+Q29</f>
        <v>256815</v>
      </c>
      <c r="R66" s="85"/>
      <c r="S66" s="85"/>
      <c r="V66" s="74"/>
      <c r="X66" s="74"/>
      <c r="AB66" s="115"/>
      <c r="AC66" s="115"/>
      <c r="AD66" s="115"/>
      <c r="AE66" s="115"/>
      <c r="AF66" s="115"/>
    </row>
    <row r="67" spans="1:32" x14ac:dyDescent="0.25">
      <c r="A67" s="3" t="s">
        <v>73</v>
      </c>
      <c r="B67" s="2"/>
      <c r="C67" s="2"/>
      <c r="D67" s="7">
        <f t="shared" si="57"/>
        <v>0</v>
      </c>
      <c r="E67" s="6" t="str">
        <f t="shared" si="58"/>
        <v/>
      </c>
      <c r="H67" s="82">
        <f>SUM(H35:H66)</f>
        <v>197886.77</v>
      </c>
      <c r="I67" s="82">
        <f>SUM(I35:I66)</f>
        <v>202452.74</v>
      </c>
      <c r="J67" s="83">
        <f>+I67-H67</f>
        <v>4565.9700000000012</v>
      </c>
      <c r="K67" s="78"/>
      <c r="M67" s="5" t="e">
        <f>(M19)-(M66)</f>
        <v>#REF!</v>
      </c>
      <c r="N67" s="105" t="e">
        <f>(N19)-(N66)</f>
        <v>#REF!</v>
      </c>
      <c r="O67" s="5" t="e">
        <f>(O19)-(O66)</f>
        <v>#REF!</v>
      </c>
      <c r="P67" s="106" t="e">
        <f>(P19)-(P66)</f>
        <v>#REF!</v>
      </c>
      <c r="Q67" s="5" t="e">
        <f>(Q19)-(Q66)</f>
        <v>#REF!</v>
      </c>
      <c r="R67" s="85"/>
      <c r="S67" s="85"/>
      <c r="W67" s="79"/>
      <c r="AB67" s="115"/>
      <c r="AC67" s="115"/>
      <c r="AD67" s="115"/>
      <c r="AE67" s="115"/>
      <c r="AF67" s="115"/>
    </row>
    <row r="68" spans="1:32" ht="15.75" thickBot="1" x14ac:dyDescent="0.3">
      <c r="A68" s="3" t="s">
        <v>72</v>
      </c>
      <c r="B68" s="7">
        <f>212762.13</f>
        <v>212762.13</v>
      </c>
      <c r="C68" s="2"/>
      <c r="D68" s="7">
        <f t="shared" si="57"/>
        <v>212762.13</v>
      </c>
      <c r="E68" s="6" t="str">
        <f t="shared" si="58"/>
        <v/>
      </c>
      <c r="H68" s="85">
        <f>+H19-H67</f>
        <v>-195595.9</v>
      </c>
      <c r="I68" s="85">
        <f>+I19-I67</f>
        <v>-200161.11</v>
      </c>
      <c r="J68" s="85">
        <f>+H68-I68</f>
        <v>4565.2099999999919</v>
      </c>
      <c r="K68" s="80"/>
      <c r="N68" s="107"/>
      <c r="O68" s="108"/>
      <c r="P68" s="109"/>
      <c r="Q68" s="85"/>
      <c r="R68" s="85"/>
      <c r="S68" s="85"/>
      <c r="T68" s="86"/>
      <c r="U68" s="85"/>
      <c r="V68" s="85"/>
      <c r="W68" s="113"/>
      <c r="X68" s="113"/>
    </row>
    <row r="69" spans="1:32" x14ac:dyDescent="0.25">
      <c r="A69" s="3" t="s">
        <v>203</v>
      </c>
      <c r="B69" s="7">
        <f>372097.02</f>
        <v>372097.02</v>
      </c>
      <c r="C69" s="2"/>
      <c r="D69" s="7">
        <f t="shared" si="57"/>
        <v>372097.02</v>
      </c>
      <c r="E69" s="6" t="str">
        <f t="shared" si="58"/>
        <v/>
      </c>
      <c r="M69" s="79"/>
      <c r="N69" s="7"/>
      <c r="O69" s="7">
        <f>+M66+O66</f>
        <v>230415</v>
      </c>
      <c r="P69" s="7"/>
      <c r="Q69" s="85"/>
      <c r="R69" s="85"/>
      <c r="S69" s="85"/>
      <c r="T69" s="86"/>
      <c r="U69" s="85"/>
      <c r="V69" s="85"/>
      <c r="W69" s="113"/>
      <c r="X69" s="113"/>
    </row>
    <row r="70" spans="1:32" x14ac:dyDescent="0.25">
      <c r="A70" s="3" t="s">
        <v>71</v>
      </c>
      <c r="B70" s="7">
        <f>-1972441.1</f>
        <v>-1972441.1</v>
      </c>
      <c r="C70" s="2"/>
      <c r="D70" s="7">
        <f t="shared" si="57"/>
        <v>-1972441.1</v>
      </c>
      <c r="E70" s="6" t="str">
        <f t="shared" si="58"/>
        <v/>
      </c>
      <c r="M70" s="80"/>
      <c r="N70" s="7"/>
      <c r="O70" s="7" t="e">
        <f>+M67+O67</f>
        <v>#REF!</v>
      </c>
      <c r="P70" s="7"/>
      <c r="Q70" s="85"/>
      <c r="R70" s="85"/>
      <c r="S70" s="85"/>
      <c r="T70" s="86"/>
      <c r="U70" s="85"/>
      <c r="V70" s="85"/>
      <c r="W70" s="113"/>
      <c r="X70" s="113"/>
    </row>
    <row r="71" spans="1:32" x14ac:dyDescent="0.25">
      <c r="A71" s="3" t="s">
        <v>70</v>
      </c>
      <c r="B71" s="7">
        <f>-91811.79</f>
        <v>-91811.79</v>
      </c>
      <c r="C71" s="2"/>
      <c r="D71" s="7">
        <f t="shared" si="57"/>
        <v>-91811.79</v>
      </c>
      <c r="E71" s="6" t="str">
        <f t="shared" si="58"/>
        <v/>
      </c>
      <c r="N71" s="7"/>
      <c r="O71" s="7"/>
      <c r="P71" s="7"/>
      <c r="Q71" s="85"/>
      <c r="R71" s="85"/>
      <c r="S71" s="85"/>
      <c r="T71" s="86"/>
      <c r="U71" s="85"/>
      <c r="V71" s="85"/>
      <c r="W71" s="113"/>
      <c r="X71" s="113"/>
    </row>
    <row r="72" spans="1:32" x14ac:dyDescent="0.25">
      <c r="A72" s="3" t="s">
        <v>69</v>
      </c>
      <c r="B72" s="5">
        <f>((((B67)+(B68))+(B69))+(B70))+(B71)</f>
        <v>-1479393.7400000002</v>
      </c>
      <c r="C72" s="5">
        <f>((((C67)+(C68))+(C69))+(C70))+(C71)</f>
        <v>0</v>
      </c>
      <c r="D72" s="5">
        <f t="shared" si="57"/>
        <v>-1479393.7400000002</v>
      </c>
      <c r="E72" s="4" t="str">
        <f t="shared" si="58"/>
        <v/>
      </c>
      <c r="N72" s="7"/>
      <c r="O72" s="7"/>
      <c r="P72" s="7"/>
      <c r="Q72" s="85"/>
      <c r="R72" s="85"/>
      <c r="S72" s="85"/>
      <c r="U72" s="85"/>
      <c r="V72" s="85"/>
      <c r="W72" s="113"/>
      <c r="X72" s="113"/>
    </row>
    <row r="73" spans="1:32" x14ac:dyDescent="0.25">
      <c r="A73" s="3" t="s">
        <v>68</v>
      </c>
      <c r="B73" s="7">
        <f>27625</f>
        <v>27625</v>
      </c>
      <c r="C73" s="7">
        <f>27625</f>
        <v>27625</v>
      </c>
      <c r="D73" s="7">
        <f t="shared" si="57"/>
        <v>0</v>
      </c>
      <c r="E73" s="6">
        <f t="shared" si="58"/>
        <v>1</v>
      </c>
      <c r="N73" s="7"/>
      <c r="O73" s="7"/>
      <c r="P73" s="7"/>
      <c r="Q73" s="85"/>
      <c r="R73" s="85"/>
      <c r="S73" s="85"/>
      <c r="U73" s="85"/>
      <c r="V73" s="85"/>
      <c r="W73" s="113"/>
      <c r="X73" s="113"/>
    </row>
    <row r="74" spans="1:32" x14ac:dyDescent="0.25">
      <c r="A74" s="3" t="s">
        <v>67</v>
      </c>
      <c r="B74" s="5">
        <f>((B66)+(B72))+(B73)</f>
        <v>184228.80999999982</v>
      </c>
      <c r="C74" s="5">
        <f>((C66)+(C72))+(C73)</f>
        <v>27625</v>
      </c>
      <c r="D74" s="5">
        <f t="shared" si="57"/>
        <v>156603.80999999982</v>
      </c>
      <c r="E74" s="4">
        <f t="shared" si="58"/>
        <v>6.6689161990950163</v>
      </c>
      <c r="N74" s="7"/>
      <c r="O74" s="7"/>
      <c r="P74" s="7"/>
      <c r="Q74" s="85"/>
      <c r="R74" s="85"/>
      <c r="S74" s="85"/>
      <c r="U74" s="85"/>
      <c r="V74" s="85"/>
      <c r="W74" s="132"/>
      <c r="X74" s="113"/>
    </row>
    <row r="75" spans="1:32" x14ac:dyDescent="0.25">
      <c r="A75" s="3" t="s">
        <v>66</v>
      </c>
      <c r="B75" s="2"/>
      <c r="C75" s="2"/>
      <c r="D75" s="2"/>
      <c r="E75" s="2"/>
      <c r="N75" s="85"/>
      <c r="O75" s="85"/>
      <c r="P75" s="85"/>
      <c r="Q75" s="85"/>
      <c r="R75" s="85"/>
      <c r="S75" s="85"/>
      <c r="U75" s="85"/>
      <c r="V75" s="85"/>
      <c r="W75" s="115"/>
      <c r="X75" s="115"/>
    </row>
    <row r="76" spans="1:32" x14ac:dyDescent="0.25">
      <c r="A76" s="3" t="s">
        <v>65</v>
      </c>
      <c r="B76" s="7">
        <f>1509451.29</f>
        <v>1509451.29</v>
      </c>
      <c r="C76" s="2"/>
      <c r="D76" s="7">
        <f>(B76)-(C76)</f>
        <v>1509451.29</v>
      </c>
      <c r="E76" s="6" t="str">
        <f>IF(C76=0,"",(B76)/(C76))</f>
        <v/>
      </c>
      <c r="N76" s="85"/>
      <c r="O76" s="85"/>
      <c r="P76" s="85"/>
      <c r="Q76" s="85"/>
      <c r="R76" s="85"/>
      <c r="S76" s="85"/>
      <c r="U76" s="85"/>
      <c r="V76" s="85"/>
      <c r="W76" s="133"/>
      <c r="X76" s="114"/>
    </row>
    <row r="77" spans="1:32" x14ac:dyDescent="0.25">
      <c r="A77" s="3" t="s">
        <v>64</v>
      </c>
      <c r="B77" s="5">
        <f>B76</f>
        <v>1509451.29</v>
      </c>
      <c r="C77" s="5">
        <f>C76</f>
        <v>0</v>
      </c>
      <c r="D77" s="5">
        <f>(B77)-(C77)</f>
        <v>1509451.29</v>
      </c>
      <c r="E77" s="4" t="str">
        <f>IF(C77=0,"",(B77)/(C77))</f>
        <v/>
      </c>
      <c r="N77" s="85"/>
      <c r="O77" s="85"/>
      <c r="P77" s="85"/>
      <c r="Q77" s="85"/>
      <c r="R77" s="85"/>
      <c r="S77" s="85"/>
      <c r="U77" s="85"/>
      <c r="V77" s="85"/>
      <c r="W77" s="115"/>
      <c r="X77" s="115"/>
    </row>
    <row r="78" spans="1:32" x14ac:dyDescent="0.25">
      <c r="A78" s="3" t="s">
        <v>63</v>
      </c>
      <c r="B78" s="5">
        <f>(B74)-(B77)</f>
        <v>-1325222.4800000002</v>
      </c>
      <c r="C78" s="5">
        <f>(C74)-(C77)</f>
        <v>27625</v>
      </c>
      <c r="D78" s="5">
        <f>(B78)-(C78)</f>
        <v>-1352847.4800000002</v>
      </c>
      <c r="E78" s="4">
        <f>IF(C78=0,"",(B78)/(C78))</f>
        <v>-47.971854479638019</v>
      </c>
      <c r="N78" s="85"/>
      <c r="O78" s="85"/>
      <c r="P78" s="85"/>
      <c r="Q78" s="85"/>
      <c r="R78" s="85"/>
      <c r="S78" s="85"/>
      <c r="U78" s="85"/>
      <c r="V78" s="85"/>
      <c r="W78" s="132"/>
      <c r="X78" s="113"/>
    </row>
    <row r="79" spans="1:32" x14ac:dyDescent="0.25">
      <c r="A79" s="3" t="s">
        <v>62</v>
      </c>
      <c r="B79" s="5">
        <f>(B64)+(B78)</f>
        <v>-1356753.3400000003</v>
      </c>
      <c r="C79" s="5">
        <f>(C64)+(C78)</f>
        <v>-7127.6300000000047</v>
      </c>
      <c r="D79" s="5">
        <f>(B79)-(C79)</f>
        <v>-1349625.7100000004</v>
      </c>
      <c r="E79" s="4">
        <f>IF(C79=0,"",(B79)/(C79))</f>
        <v>190.35125841268407</v>
      </c>
      <c r="N79" s="85"/>
      <c r="O79" s="85"/>
      <c r="P79" s="85"/>
      <c r="Q79" s="85"/>
      <c r="R79" s="85"/>
      <c r="S79" s="85"/>
      <c r="U79" s="85"/>
      <c r="V79" s="85"/>
      <c r="W79" s="113"/>
      <c r="X79" s="113"/>
    </row>
    <row r="80" spans="1:32" x14ac:dyDescent="0.25">
      <c r="A80" s="3"/>
      <c r="B80" s="2"/>
      <c r="C80" s="2"/>
      <c r="D80" s="2"/>
      <c r="E80" s="2"/>
      <c r="N80" s="85"/>
      <c r="O80" s="85"/>
      <c r="P80" s="85"/>
      <c r="Q80" s="85"/>
      <c r="R80" s="85"/>
      <c r="S80" s="85"/>
      <c r="U80" s="85"/>
      <c r="V80" s="85"/>
      <c r="W80" s="113"/>
      <c r="X80" s="113"/>
    </row>
    <row r="81" spans="1:24" x14ac:dyDescent="0.25">
      <c r="A81" s="3"/>
      <c r="B81" s="2"/>
      <c r="C81" s="2"/>
      <c r="D81" s="2"/>
      <c r="E81" s="2"/>
      <c r="N81" s="85"/>
      <c r="O81" s="85"/>
      <c r="P81" s="85"/>
      <c r="Q81" s="85"/>
      <c r="R81" s="85"/>
      <c r="S81" s="85"/>
      <c r="U81" s="85"/>
      <c r="V81" s="85"/>
      <c r="W81" s="113"/>
      <c r="X81" s="113"/>
    </row>
    <row r="82" spans="1:24" x14ac:dyDescent="0.25">
      <c r="A82" s="3"/>
      <c r="B82" s="2"/>
      <c r="C82" s="2"/>
      <c r="D82" s="2"/>
      <c r="E82" s="2"/>
      <c r="N82" s="85"/>
      <c r="O82" s="85"/>
      <c r="P82" s="85"/>
      <c r="Q82" s="85"/>
      <c r="R82" s="85"/>
      <c r="S82" s="85"/>
      <c r="U82" s="85"/>
      <c r="V82" s="85"/>
      <c r="W82" s="113"/>
      <c r="X82" s="113"/>
    </row>
    <row r="83" spans="1:24" x14ac:dyDescent="0.25">
      <c r="A83" s="3"/>
      <c r="B83" s="2"/>
      <c r="C83" s="2"/>
      <c r="D83" s="2"/>
      <c r="E83" s="2"/>
      <c r="N83" s="85"/>
      <c r="O83" s="85"/>
      <c r="P83" s="85"/>
      <c r="Q83" s="85"/>
      <c r="R83" s="85"/>
      <c r="S83" s="85"/>
      <c r="U83" s="85"/>
      <c r="V83" s="85"/>
      <c r="W83" s="113"/>
      <c r="X83" s="113"/>
    </row>
    <row r="84" spans="1:24" x14ac:dyDescent="0.25">
      <c r="A84" s="159" t="s">
        <v>61</v>
      </c>
      <c r="B84" s="159"/>
      <c r="C84" s="159"/>
      <c r="D84" s="159"/>
      <c r="E84" s="159"/>
      <c r="N84" s="85"/>
      <c r="O84" s="85"/>
      <c r="P84" s="85"/>
      <c r="Q84" s="85"/>
      <c r="R84" s="85"/>
      <c r="S84" s="85"/>
      <c r="U84" s="85"/>
      <c r="V84" s="85"/>
      <c r="W84" s="113"/>
      <c r="X84" s="113"/>
    </row>
    <row r="85" spans="1:24" x14ac:dyDescent="0.25">
      <c r="N85" s="85"/>
      <c r="O85" s="85"/>
      <c r="P85" s="85"/>
      <c r="Q85" s="85"/>
      <c r="R85" s="85"/>
      <c r="S85" s="85"/>
      <c r="U85" s="85"/>
      <c r="V85" s="85"/>
      <c r="W85" s="112">
        <f>W84</f>
        <v>0</v>
      </c>
      <c r="X85" s="115"/>
    </row>
    <row r="86" spans="1:24" x14ac:dyDescent="0.25">
      <c r="A86" s="161" t="s">
        <v>261</v>
      </c>
      <c r="B86" s="156"/>
      <c r="C86" s="156"/>
      <c r="D86" s="156"/>
      <c r="E86" s="156"/>
      <c r="F86">
        <v>102188.35</v>
      </c>
      <c r="G86" s="78">
        <f>+F86-D86</f>
        <v>102188.35</v>
      </c>
      <c r="N86" s="85"/>
      <c r="O86" s="85"/>
      <c r="P86" s="85"/>
      <c r="Q86" s="85"/>
      <c r="R86" s="85"/>
      <c r="S86" s="85"/>
      <c r="U86" s="85"/>
      <c r="V86" s="85"/>
      <c r="W86" s="112">
        <f>(W77)-(W85)</f>
        <v>0</v>
      </c>
      <c r="X86" s="115"/>
    </row>
    <row r="87" spans="1:24" x14ac:dyDescent="0.25">
      <c r="A87" s="3" t="s">
        <v>62</v>
      </c>
      <c r="B87" s="5">
        <f>(B69)+(B86)</f>
        <v>372097.02</v>
      </c>
      <c r="C87" s="5">
        <f>(C69)+(C86)</f>
        <v>0</v>
      </c>
      <c r="D87" s="5">
        <f>(B87)-(C87)</f>
        <v>372097.02</v>
      </c>
      <c r="E87" s="4" t="str">
        <f>IF(C87=0,"",(B87)/(C87))</f>
        <v/>
      </c>
      <c r="N87" s="85"/>
      <c r="O87" s="85"/>
      <c r="P87" s="85"/>
      <c r="Q87" s="85"/>
      <c r="R87" s="85"/>
      <c r="S87" s="85"/>
      <c r="U87" s="85"/>
      <c r="V87" s="85"/>
      <c r="W87" s="112">
        <f>(W64)+(W86)</f>
        <v>0</v>
      </c>
      <c r="X87" s="115"/>
    </row>
    <row r="88" spans="1:24" x14ac:dyDescent="0.25">
      <c r="A88" s="3"/>
      <c r="B88" s="2"/>
      <c r="C88" s="2"/>
      <c r="D88" s="2"/>
      <c r="E88" s="2"/>
      <c r="N88" s="85"/>
      <c r="O88" s="85"/>
      <c r="P88" s="85"/>
      <c r="Q88" s="85"/>
      <c r="R88" s="85"/>
      <c r="S88" s="85"/>
      <c r="U88" s="85"/>
      <c r="V88" s="85"/>
      <c r="W88" s="86"/>
      <c r="X88" s="86"/>
    </row>
    <row r="89" spans="1:24" x14ac:dyDescent="0.25">
      <c r="B89" t="s">
        <v>190</v>
      </c>
      <c r="C89" s="86">
        <v>22541.67</v>
      </c>
      <c r="D89" s="86"/>
      <c r="N89" s="85"/>
      <c r="O89" s="85"/>
      <c r="P89" s="85"/>
      <c r="Q89" s="85"/>
      <c r="R89" s="85"/>
      <c r="S89" s="85"/>
      <c r="U89" s="85"/>
      <c r="V89" s="85"/>
      <c r="W89" s="86"/>
      <c r="X89" s="86"/>
    </row>
    <row r="90" spans="1:24" x14ac:dyDescent="0.25">
      <c r="B90" t="s">
        <v>191</v>
      </c>
      <c r="C90" s="86">
        <v>-10644.33</v>
      </c>
      <c r="D90" s="86">
        <f>+C90+C89</f>
        <v>11897.339999999998</v>
      </c>
      <c r="N90" s="85"/>
      <c r="O90" s="85"/>
      <c r="P90" s="85"/>
      <c r="Q90" s="85"/>
      <c r="R90" s="85"/>
      <c r="S90" s="85"/>
      <c r="U90" s="85"/>
      <c r="V90" s="85"/>
      <c r="W90" s="86"/>
      <c r="X90" s="86"/>
    </row>
    <row r="91" spans="1:24" x14ac:dyDescent="0.25">
      <c r="B91" t="s">
        <v>192</v>
      </c>
      <c r="C91" s="86">
        <f>13516.67-27625</f>
        <v>-14108.33</v>
      </c>
      <c r="D91" s="86">
        <f>+D90+C91</f>
        <v>-2210.9900000000016</v>
      </c>
      <c r="N91" s="85"/>
      <c r="O91" s="85"/>
      <c r="P91" s="85"/>
      <c r="Q91" s="85"/>
      <c r="R91" s="85"/>
      <c r="S91" s="85"/>
      <c r="U91" s="85"/>
      <c r="V91" s="85"/>
      <c r="W91" s="86"/>
      <c r="X91" s="86"/>
    </row>
    <row r="92" spans="1:24" x14ac:dyDescent="0.25">
      <c r="B92" t="s">
        <v>193</v>
      </c>
      <c r="C92" s="86">
        <v>21716.67</v>
      </c>
      <c r="D92" s="86">
        <f>+D91+C92</f>
        <v>19505.679999999997</v>
      </c>
      <c r="N92" s="85"/>
      <c r="O92" s="85"/>
      <c r="P92" s="85"/>
      <c r="Q92" s="85"/>
      <c r="R92" s="85"/>
      <c r="S92" s="85"/>
      <c r="U92" s="85"/>
      <c r="V92" s="85"/>
      <c r="W92" s="85"/>
      <c r="X92" s="85"/>
    </row>
    <row r="93" spans="1:24" x14ac:dyDescent="0.25">
      <c r="B93" t="s">
        <v>194</v>
      </c>
      <c r="C93" s="86">
        <v>-22399.33</v>
      </c>
      <c r="D93" s="87">
        <f>+D92+C93</f>
        <v>-2893.6500000000051</v>
      </c>
    </row>
    <row r="94" spans="1:24" x14ac:dyDescent="0.25">
      <c r="B94" t="s">
        <v>195</v>
      </c>
      <c r="C94" s="86">
        <v>-16408.330000000002</v>
      </c>
      <c r="D94" s="86">
        <f t="shared" ref="D94:D100" si="59">+D93+C94</f>
        <v>-19301.980000000007</v>
      </c>
    </row>
    <row r="95" spans="1:24" x14ac:dyDescent="0.25">
      <c r="B95" t="s">
        <v>196</v>
      </c>
      <c r="C95" s="86">
        <v>27041.67</v>
      </c>
      <c r="D95" s="86">
        <f t="shared" si="59"/>
        <v>7739.6899999999914</v>
      </c>
    </row>
    <row r="96" spans="1:24" x14ac:dyDescent="0.25">
      <c r="B96" t="s">
        <v>197</v>
      </c>
      <c r="C96" s="86">
        <v>-28925.33</v>
      </c>
      <c r="D96" s="86">
        <f t="shared" si="59"/>
        <v>-21185.64000000001</v>
      </c>
    </row>
    <row r="97" spans="2:6" x14ac:dyDescent="0.25">
      <c r="B97" t="s">
        <v>198</v>
      </c>
      <c r="C97" s="86">
        <v>-14958.33</v>
      </c>
      <c r="D97" s="86">
        <f t="shared" si="59"/>
        <v>-36143.970000000008</v>
      </c>
    </row>
    <row r="98" spans="2:6" x14ac:dyDescent="0.25">
      <c r="B98" t="s">
        <v>199</v>
      </c>
      <c r="C98" s="86">
        <v>23491.67</v>
      </c>
      <c r="D98" s="86">
        <f t="shared" si="59"/>
        <v>-12652.30000000001</v>
      </c>
    </row>
    <row r="99" spans="2:6" x14ac:dyDescent="0.25">
      <c r="B99" t="s">
        <v>200</v>
      </c>
      <c r="C99" s="86">
        <v>-22100.33</v>
      </c>
      <c r="D99" s="86">
        <f t="shared" si="59"/>
        <v>-34752.630000000012</v>
      </c>
    </row>
    <row r="100" spans="2:6" x14ac:dyDescent="0.25">
      <c r="B100" t="s">
        <v>201</v>
      </c>
      <c r="C100" s="86">
        <v>-13458.37</v>
      </c>
      <c r="D100" s="86">
        <f t="shared" si="59"/>
        <v>-48211.000000000015</v>
      </c>
      <c r="E100" s="86">
        <v>27625</v>
      </c>
      <c r="F100" s="74">
        <f>+D100+E100</f>
        <v>-20586.000000000015</v>
      </c>
    </row>
    <row r="101" spans="2:6" x14ac:dyDescent="0.25">
      <c r="C101" s="86"/>
      <c r="D101" s="86"/>
      <c r="E101" t="s">
        <v>202</v>
      </c>
    </row>
  </sheetData>
  <mergeCells count="8">
    <mergeCell ref="T5:W5"/>
    <mergeCell ref="Y5:AA5"/>
    <mergeCell ref="A84:E84"/>
    <mergeCell ref="A86:E86"/>
    <mergeCell ref="A1:E1"/>
    <mergeCell ref="A2:E2"/>
    <mergeCell ref="A3:E3"/>
    <mergeCell ref="B5:E5"/>
  </mergeCell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7E8CD8-D494-4A68-9B43-ECBF63B156E9}"/>
</file>

<file path=customXml/itemProps2.xml><?xml version="1.0" encoding="utf-8"?>
<ds:datastoreItem xmlns:ds="http://schemas.openxmlformats.org/officeDocument/2006/customXml" ds:itemID="{78710E2D-46C2-4085-9EC8-4272864FF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Summary Table</vt:lpstr>
      <vt:lpstr>Funds and Assets</vt:lpstr>
      <vt:lpstr>Statement of Financial Position</vt:lpstr>
      <vt:lpstr>Budget vs. Actuals</vt:lpstr>
      <vt:lpstr>L&amp;L Spend</vt:lpstr>
      <vt:lpstr>A P Aging Summary</vt:lpstr>
      <vt:lpstr>AR Aging</vt:lpstr>
      <vt:lpstr>Budget vs. Actuals w budget 2</vt:lpstr>
      <vt:lpstr>'Budget vs. Actuals w budget 2'!Print_Area</vt:lpstr>
      <vt:lpstr>'Budget vs. Actuals'!Print_Titles</vt:lpstr>
      <vt:lpstr>'Budget vs. Actuals w budget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2022-04-21T16:58:54Z</cp:lastPrinted>
  <dcterms:created xsi:type="dcterms:W3CDTF">2021-09-20T13:27:09Z</dcterms:created>
  <dcterms:modified xsi:type="dcterms:W3CDTF">2023-03-27T23:28:06Z</dcterms:modified>
</cp:coreProperties>
</file>